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6-2027\ZOK 16.12.2024\"/>
    </mc:Choice>
  </mc:AlternateContent>
  <xr:revisionPtr revIDLastSave="0" documentId="13_ncr:1_{A29F9803-60F4-482C-9DC9-B0126EC8E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1" sheetId="1" r:id="rId1"/>
  </sheets>
  <definedNames>
    <definedName name="_xlnm.Print_Area" localSheetId="0">'Příloha č. 1'!$A$1:$H$105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10" i="1" l="1"/>
  <c r="D10" i="1"/>
  <c r="G94" i="1" l="1"/>
  <c r="E94" i="1"/>
  <c r="D94" i="1"/>
  <c r="G99" i="1"/>
  <c r="E99" i="1"/>
  <c r="G19" i="1"/>
  <c r="E19" i="1"/>
  <c r="D19" i="1"/>
  <c r="E22" i="1"/>
  <c r="E23" i="1"/>
  <c r="G60" i="1"/>
  <c r="D6" i="1"/>
  <c r="G23" i="1" l="1"/>
  <c r="H23" i="1" s="1"/>
  <c r="F23" i="1"/>
  <c r="E24" i="1" l="1"/>
  <c r="G24" i="1" s="1"/>
  <c r="H24" i="1" s="1"/>
  <c r="E9" i="1"/>
  <c r="F9" i="1" s="1"/>
  <c r="G9" i="1" l="1"/>
  <c r="H9" i="1" s="1"/>
  <c r="F24" i="1"/>
  <c r="H48" i="1" l="1"/>
  <c r="E50" i="1" l="1"/>
  <c r="G21" i="1"/>
  <c r="G18" i="1"/>
  <c r="G14" i="1"/>
  <c r="G12" i="1"/>
  <c r="G7" i="1"/>
  <c r="G6" i="1" s="1"/>
  <c r="E20" i="1"/>
  <c r="E15" i="1"/>
  <c r="G15" i="1" s="1"/>
  <c r="E7" i="1"/>
  <c r="E6" i="1" s="1"/>
  <c r="F96" i="1"/>
  <c r="G20" i="1" l="1"/>
  <c r="G50" i="1"/>
  <c r="D43" i="1"/>
  <c r="D41" i="1" l="1"/>
  <c r="E41" i="1" s="1"/>
  <c r="G41" i="1" s="1"/>
  <c r="E11" i="1"/>
  <c r="E16" i="1"/>
  <c r="G16" i="1" s="1"/>
  <c r="E17" i="1"/>
  <c r="G17" i="1" s="1"/>
  <c r="G11" i="1" l="1"/>
  <c r="D13" i="1"/>
  <c r="E25" i="1" l="1"/>
  <c r="E13" i="1"/>
  <c r="E10" i="1" s="1"/>
  <c r="G10" i="1"/>
  <c r="G22" i="1"/>
  <c r="G13" i="1"/>
  <c r="E55" i="1"/>
  <c r="G55" i="1" s="1"/>
  <c r="F22" i="1" l="1"/>
  <c r="H60" i="1"/>
  <c r="H95" i="1"/>
  <c r="H98" i="1"/>
  <c r="H104" i="1"/>
  <c r="H105" i="1"/>
  <c r="F104" i="1"/>
  <c r="F105" i="1"/>
  <c r="E53" i="1" l="1"/>
  <c r="G87" i="1" l="1"/>
  <c r="H21" i="1" l="1"/>
  <c r="F21" i="1" l="1"/>
  <c r="G61" i="1"/>
  <c r="E61" i="1"/>
  <c r="D61" i="1"/>
  <c r="G53" i="1"/>
  <c r="H53" i="1" s="1"/>
  <c r="D49" i="1"/>
  <c r="F53" i="1" l="1"/>
  <c r="D99" i="1" l="1"/>
  <c r="G43" i="1"/>
  <c r="E43" i="1"/>
  <c r="E57" i="1"/>
  <c r="G57" i="1" s="1"/>
  <c r="D113" i="1" l="1"/>
  <c r="D25" i="1"/>
  <c r="E52" i="1"/>
  <c r="G52" i="1" s="1"/>
  <c r="H52" i="1" s="1"/>
  <c r="E51" i="1"/>
  <c r="G51" i="1" l="1"/>
  <c r="F51" i="1"/>
  <c r="F52" i="1"/>
  <c r="E58" i="1"/>
  <c r="H51" i="1" l="1"/>
  <c r="D40" i="1"/>
  <c r="F95" i="1"/>
  <c r="F103" i="1"/>
  <c r="F101" i="1"/>
  <c r="F100" i="1"/>
  <c r="H101" i="1"/>
  <c r="H100" i="1"/>
  <c r="H62" i="1"/>
  <c r="H45" i="1"/>
  <c r="H44" i="1"/>
  <c r="F48" i="1"/>
  <c r="F47" i="1"/>
  <c r="F45" i="1"/>
  <c r="F44" i="1"/>
  <c r="H33" i="1"/>
  <c r="H18" i="1"/>
  <c r="H14" i="1"/>
  <c r="F18" i="1"/>
  <c r="F14" i="1"/>
  <c r="H22" i="1" l="1"/>
  <c r="E54" i="1"/>
  <c r="F41" i="1"/>
  <c r="F7" i="1"/>
  <c r="F12" i="1"/>
  <c r="F6" i="1"/>
  <c r="G54" i="1" l="1"/>
  <c r="F54" i="1"/>
  <c r="F8" i="1"/>
  <c r="F99" i="1"/>
  <c r="H99" i="1"/>
  <c r="F15" i="1"/>
  <c r="F20" i="1"/>
  <c r="F43" i="1" l="1"/>
  <c r="H43" i="1" l="1"/>
  <c r="C56" i="1" l="1"/>
  <c r="C43" i="1"/>
  <c r="C41" i="1"/>
  <c r="C13" i="1"/>
  <c r="F11" i="1" l="1"/>
  <c r="F59" i="1"/>
  <c r="H20" i="1"/>
  <c r="F16" i="1"/>
  <c r="H11" i="1" l="1"/>
  <c r="C99" i="1"/>
  <c r="C97" i="1"/>
  <c r="C61" i="1"/>
  <c r="C94" i="1" l="1"/>
  <c r="C113" i="1"/>
  <c r="F33" i="1" l="1"/>
  <c r="H87" i="1" l="1"/>
  <c r="F87" i="1"/>
  <c r="H7" i="1" l="1"/>
  <c r="E97" i="1" l="1"/>
  <c r="E113" i="1" l="1"/>
  <c r="F19" i="1"/>
  <c r="I43" i="1" l="1"/>
  <c r="C6" i="1"/>
  <c r="C49" i="1" l="1"/>
  <c r="C10" i="1"/>
  <c r="G97" i="1" l="1"/>
  <c r="G113" i="1" l="1"/>
  <c r="H94" i="1"/>
  <c r="F58" i="1" l="1"/>
  <c r="F57" i="1"/>
  <c r="F55" i="1"/>
  <c r="F42" i="1" l="1"/>
  <c r="E40" i="1"/>
  <c r="F50" i="1"/>
  <c r="F94" i="1"/>
  <c r="H55" i="1"/>
  <c r="H54" i="1"/>
  <c r="H57" i="1"/>
  <c r="D79" i="1"/>
  <c r="F17" i="1"/>
  <c r="H50" i="1" l="1"/>
  <c r="F62" i="1"/>
  <c r="E56" i="1"/>
  <c r="E49" i="1" s="1"/>
  <c r="F56" i="1" l="1"/>
  <c r="E79" i="1"/>
  <c r="D88" i="1"/>
  <c r="G56" i="1"/>
  <c r="G49" i="1" s="1"/>
  <c r="H56" i="1" l="1"/>
  <c r="D93" i="1"/>
  <c r="H15" i="1"/>
  <c r="F49" i="1"/>
  <c r="D107" i="1" l="1"/>
  <c r="H49" i="1"/>
  <c r="H19" i="1"/>
  <c r="C19" i="1" l="1"/>
  <c r="F61" i="1" l="1"/>
  <c r="G42" i="1"/>
  <c r="G40" i="1" s="1"/>
  <c r="H41" i="1"/>
  <c r="H42" i="1" l="1"/>
  <c r="H8" i="1" l="1"/>
  <c r="H6" i="1" l="1"/>
  <c r="H12" i="1" l="1"/>
  <c r="H16" i="1"/>
  <c r="H17" i="1"/>
  <c r="C25" i="1" l="1"/>
  <c r="C40" i="1"/>
  <c r="C34" i="1" l="1"/>
  <c r="C79" i="1"/>
  <c r="C91" i="1" l="1"/>
  <c r="C106" i="1" s="1"/>
  <c r="C88" i="1"/>
  <c r="C93" i="1" l="1"/>
  <c r="G58" i="1"/>
  <c r="H58" i="1" l="1"/>
  <c r="C107" i="1"/>
  <c r="C109" i="1" s="1"/>
  <c r="C112" i="1"/>
  <c r="F40" i="1" l="1"/>
  <c r="H40" i="1"/>
  <c r="F79" i="1"/>
  <c r="H61" i="1" l="1"/>
  <c r="G59" i="1"/>
  <c r="G79" i="1" l="1"/>
  <c r="H79" i="1" s="1"/>
  <c r="H59" i="1"/>
  <c r="F80" i="1" l="1"/>
  <c r="H28" i="1"/>
  <c r="H30" i="1"/>
  <c r="H31" i="1"/>
  <c r="H82" i="1"/>
  <c r="H84" i="1"/>
  <c r="H85" i="1"/>
  <c r="G82" i="1"/>
  <c r="G85" i="1"/>
  <c r="G28" i="1"/>
  <c r="G31" i="1"/>
  <c r="F85" i="1"/>
  <c r="G30" i="1"/>
  <c r="E82" i="1"/>
  <c r="E84" i="1"/>
  <c r="F84" i="1"/>
  <c r="G84" i="1"/>
  <c r="E85" i="1"/>
  <c r="F30" i="1"/>
  <c r="F31" i="1"/>
  <c r="E26" i="1"/>
  <c r="E28" i="1"/>
  <c r="E30" i="1"/>
  <c r="E31" i="1"/>
  <c r="F82" i="1"/>
  <c r="G80" i="1"/>
  <c r="E80" i="1" l="1"/>
  <c r="F26" i="1"/>
  <c r="H80" i="1"/>
  <c r="G88" i="1" l="1"/>
  <c r="G93" i="1" l="1"/>
  <c r="G81" i="1"/>
  <c r="G83" i="1" s="1"/>
  <c r="G86" i="1" s="1"/>
  <c r="G107" i="1" l="1"/>
  <c r="E88" i="1"/>
  <c r="E93" i="1" l="1"/>
  <c r="H88" i="1"/>
  <c r="F88" i="1"/>
  <c r="F81" i="1"/>
  <c r="F83" i="1" s="1"/>
  <c r="F86" i="1" s="1"/>
  <c r="H81" i="1"/>
  <c r="H83" i="1" s="1"/>
  <c r="H86" i="1" s="1"/>
  <c r="E81" i="1"/>
  <c r="E83" i="1" s="1"/>
  <c r="E86" i="1" s="1"/>
  <c r="G26" i="1"/>
  <c r="H26" i="1"/>
  <c r="F93" i="1" l="1"/>
  <c r="H93" i="1"/>
  <c r="E107" i="1"/>
  <c r="D34" i="1"/>
  <c r="D91" i="1" s="1"/>
  <c r="D106" i="1" l="1"/>
  <c r="D109" i="1" s="1"/>
  <c r="D112" i="1"/>
  <c r="F13" i="1"/>
  <c r="G25" i="1"/>
  <c r="H10" i="1" l="1"/>
  <c r="H13" i="1"/>
  <c r="G27" i="1" l="1"/>
  <c r="G29" i="1" s="1"/>
  <c r="G32" i="1" s="1"/>
  <c r="F25" i="1"/>
  <c r="F27" i="1" s="1"/>
  <c r="F29" i="1" s="1"/>
  <c r="F32" i="1" s="1"/>
  <c r="E92" i="1"/>
  <c r="E27" i="1"/>
  <c r="E29" i="1" s="1"/>
  <c r="E32" i="1" s="1"/>
  <c r="E34" i="1"/>
  <c r="E91" i="1" s="1"/>
  <c r="G92" i="1" l="1"/>
  <c r="H92" i="1" s="1"/>
  <c r="H25" i="1"/>
  <c r="H27" i="1" s="1"/>
  <c r="H29" i="1" s="1"/>
  <c r="H32" i="1" s="1"/>
  <c r="G34" i="1"/>
  <c r="G91" i="1" s="1"/>
  <c r="F91" i="1"/>
  <c r="E112" i="1"/>
  <c r="F34" i="1"/>
  <c r="F92" i="1"/>
  <c r="H91" i="1" l="1"/>
  <c r="G112" i="1"/>
  <c r="H34" i="1"/>
  <c r="G106" i="1"/>
  <c r="G109" i="1" s="1"/>
  <c r="E106" i="1"/>
  <c r="E109" i="1" s="1"/>
</calcChain>
</file>

<file path=xl/sharedStrings.xml><?xml version="1.0" encoding="utf-8"?>
<sst xmlns="http://schemas.openxmlformats.org/spreadsheetml/2006/main" count="95" uniqueCount="87">
  <si>
    <t>DAŇOVÉ PŘÍJMY</t>
  </si>
  <si>
    <t>NEDAŇOVÉ PŘÍJMY</t>
  </si>
  <si>
    <t>KAPITÁLOVÉ PŘÍJMY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</si>
  <si>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</si>
  <si>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</si>
  <si>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</si>
  <si>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</si>
  <si>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</si>
  <si>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</si>
  <si>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</si>
  <si>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</si>
  <si>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</si>
  <si>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</si>
  <si>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</si>
  <si>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</si>
  <si>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</si>
  <si>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</si>
  <si>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</si>
  <si>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</si>
  <si>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</si>
  <si>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</si>
  <si>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</si>
  <si>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</si>
  <si>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</si>
  <si>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</si>
  <si>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</si>
  <si>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</si>
  <si>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zapojení nevyužitých prostředků předcházejícího roku (přebytek)</t>
  </si>
  <si>
    <t xml:space="preserve">          oblast zdravotnictví (NOK, a.s.)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</si>
  <si>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</si>
  <si>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</si>
  <si>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</si>
  <si>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  EIB  - úroky</t>
  </si>
  <si>
    <t xml:space="preserve">Odbory (kanceláře) - provozní výdaje a dotační tituly </t>
  </si>
  <si>
    <t>a) provozní výdaje odborů</t>
  </si>
  <si>
    <t>b) dotační tituly</t>
  </si>
  <si>
    <t xml:space="preserve">          Komerční banka  - jistina</t>
  </si>
  <si>
    <t xml:space="preserve">a) příspěvek na provoz </t>
  </si>
  <si>
    <t>Investiční výdaje</t>
  </si>
  <si>
    <t>b) alokace 5 - 12 - podíl Olomouckého kraje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</si>
  <si>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</si>
  <si>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</si>
  <si>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</si>
  <si>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</si>
  <si>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</si>
  <si>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z toho: EIB (Modernizace silniční sítě) - jistina</t>
  </si>
  <si>
    <t xml:space="preserve">Střednědobý výhled rozpočtu </t>
  </si>
  <si>
    <t xml:space="preserve">          Komerční banka - úvěr (kofinancování projektů)</t>
  </si>
  <si>
    <t>v tis.Kč</t>
  </si>
  <si>
    <t xml:space="preserve">    </t>
  </si>
  <si>
    <t>Schválený rozpočet 2020</t>
  </si>
  <si>
    <t xml:space="preserve">         Komerční banka (úvěr - kofinancování) - jistina</t>
  </si>
  <si>
    <t>z toho: Komerční banka - revolvingový úvěr (1 mld. Kč)</t>
  </si>
  <si>
    <t>a) rozpracované opravy</t>
  </si>
  <si>
    <t>b) rozpracované investice</t>
  </si>
  <si>
    <t xml:space="preserve">c) nové opravy </t>
  </si>
  <si>
    <t>d) nové investice</t>
  </si>
  <si>
    <t>e) nákupy</t>
  </si>
  <si>
    <t xml:space="preserve">f) projekty z dotace - neinvestiční </t>
  </si>
  <si>
    <t xml:space="preserve">g) projekty z dotace - investiční </t>
  </si>
  <si>
    <t xml:space="preserve">         Komerční banka (revolvingový úvěr) - jistina</t>
  </si>
  <si>
    <t xml:space="preserve">          Komerční banka - revolvingový úvěr</t>
  </si>
  <si>
    <t>b) příspěvek na provoz - plyn</t>
  </si>
  <si>
    <t>c) příspěvek na provoz - elektrická energie</t>
  </si>
  <si>
    <t>26/25 (%)</t>
  </si>
  <si>
    <t>d) příspěvek na provoz - teplo</t>
  </si>
  <si>
    <t>e) příspěve na provoz - mzdové náklady</t>
  </si>
  <si>
    <t>f) příspěvek na provoz - odpisy</t>
  </si>
  <si>
    <t xml:space="preserve">g) příspěvek na provoz - nájemné, ostatní </t>
  </si>
  <si>
    <t>h) dopravní obslužnost</t>
  </si>
  <si>
    <t>h) energetika</t>
  </si>
  <si>
    <t xml:space="preserve">d) úroky z úvěru </t>
  </si>
  <si>
    <t xml:space="preserve"> z toho: EIB (Modernizace silniční sítě) - úroky</t>
  </si>
  <si>
    <t>TRANSFERY CELKEM</t>
  </si>
  <si>
    <t xml:space="preserve">Financování - splátky úvěru (-) </t>
  </si>
  <si>
    <t>Financování - přijatý úvěr (+)</t>
  </si>
  <si>
    <t xml:space="preserve">          EIB (Evropské projekty) - jistina</t>
  </si>
  <si>
    <t>Neinvestiční transfery poskytované ze státního rozpočtu</t>
  </si>
  <si>
    <t>1. Střednědobý výhled rozpočtu Olomouckého kraje na období 2026 - 2027</t>
  </si>
  <si>
    <t>Návrh rozpočtu na 2025</t>
  </si>
  <si>
    <t>27/26 (%)</t>
  </si>
  <si>
    <t xml:space="preserve">           fond - voda (poplatky za odběr vody)</t>
  </si>
  <si>
    <t xml:space="preserve">            neinvestiční přijaté transfery od obcí a krajů</t>
  </si>
  <si>
    <t xml:space="preserve">            neinvestiční transfery poskytované ze státního rozpočtu</t>
  </si>
  <si>
    <t xml:space="preserve">            sociální fond - tvorba</t>
  </si>
  <si>
    <t xml:space="preserve">            neinvestiční transfery  - ostatní</t>
  </si>
  <si>
    <t xml:space="preserve">Financování - zapojení nevyužitých prostředků předcházejícího roku na samostatném bankovním účtu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</si>
</sst>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.6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3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3" fontId="6" fillId="0" borderId="1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3" fontId="3" fillId="3" borderId="10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/>
    <xf numFmtId="3" fontId="4" fillId="3" borderId="10" xfId="0" applyNumberFormat="1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horizontal="right" vertical="top"/>
    </xf>
    <xf numFmtId="164" fontId="9" fillId="3" borderId="11" xfId="0" applyNumberFormat="1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/>
    <xf numFmtId="0" fontId="3" fillId="3" borderId="0" xfId="0" applyFont="1" applyFill="1" applyAlignment="1"/>
    <xf numFmtId="0" fontId="6" fillId="0" borderId="12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/>
    </xf>
    <xf numFmtId="164" fontId="6" fillId="0" borderId="17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/>
    </xf>
    <xf numFmtId="3" fontId="10" fillId="0" borderId="3" xfId="0" applyNumberFormat="1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left" vertical="center" wrapText="1"/>
    </xf>
    <xf numFmtId="3" fontId="4" fillId="4" borderId="3" xfId="0" applyNumberFormat="1" applyFont="1" applyFill="1" applyBorder="1" applyAlignment="1">
      <alignment vertical="center"/>
    </xf>
    <xf numFmtId="164" fontId="4" fillId="4" borderId="2" xfId="0" applyNumberFormat="1" applyFont="1" applyFill="1" applyBorder="1"/>
    <xf numFmtId="3" fontId="4" fillId="4" borderId="3" xfId="0" applyNumberFormat="1" applyFont="1" applyFill="1" applyBorder="1"/>
    <xf numFmtId="164" fontId="6" fillId="0" borderId="2" xfId="0" applyNumberFormat="1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 shrinkToFit="1"/>
    </xf>
    <xf numFmtId="164" fontId="4" fillId="4" borderId="13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4" fillId="4" borderId="12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/>
    <xf numFmtId="0" fontId="4" fillId="4" borderId="17" xfId="0" applyFont="1" applyFill="1" applyBorder="1" applyAlignment="1">
      <alignment horizontal="left"/>
    </xf>
    <xf numFmtId="3" fontId="4" fillId="4" borderId="3" xfId="0" applyNumberFormat="1" applyFont="1" applyFill="1" applyBorder="1" applyAlignment="1"/>
    <xf numFmtId="164" fontId="4" fillId="4" borderId="2" xfId="0" applyNumberFormat="1" applyFont="1" applyFill="1" applyBorder="1" applyAlignment="1">
      <alignment horizontal="right"/>
    </xf>
    <xf numFmtId="0" fontId="4" fillId="4" borderId="0" xfId="0" applyFont="1" applyFill="1" applyAlignment="1"/>
    <xf numFmtId="0" fontId="4" fillId="4" borderId="18" xfId="0" applyFont="1" applyFill="1" applyBorder="1" applyAlignment="1">
      <alignment horizontal="left"/>
    </xf>
    <xf numFmtId="3" fontId="4" fillId="4" borderId="4" xfId="0" applyNumberFormat="1" applyFont="1" applyFill="1" applyBorder="1" applyAlignment="1"/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3" fillId="3" borderId="9" xfId="0" applyFont="1" applyFill="1" applyBorder="1" applyAlignment="1"/>
    <xf numFmtId="3" fontId="3" fillId="3" borderId="6" xfId="0" applyNumberFormat="1" applyFont="1" applyFill="1" applyBorder="1" applyAlignment="1"/>
    <xf numFmtId="0" fontId="10" fillId="0" borderId="19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3" fontId="3" fillId="5" borderId="6" xfId="0" applyNumberFormat="1" applyFont="1" applyFill="1" applyBorder="1" applyAlignment="1"/>
    <xf numFmtId="164" fontId="9" fillId="3" borderId="15" xfId="0" applyNumberFormat="1" applyFont="1" applyFill="1" applyBorder="1" applyAlignment="1">
      <alignment horizontal="right"/>
    </xf>
    <xf numFmtId="164" fontId="4" fillId="4" borderId="17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/>
    <xf numFmtId="3" fontId="3" fillId="5" borderId="10" xfId="0" applyNumberFormat="1" applyFont="1" applyFill="1" applyBorder="1" applyAlignment="1"/>
    <xf numFmtId="164" fontId="10" fillId="0" borderId="17" xfId="0" applyNumberFormat="1" applyFont="1" applyFill="1" applyBorder="1" applyAlignment="1">
      <alignment horizontal="right" vertical="center"/>
    </xf>
    <xf numFmtId="3" fontId="6" fillId="6" borderId="3" xfId="0" applyNumberFormat="1" applyFont="1" applyFill="1" applyBorder="1" applyAlignment="1">
      <alignment horizontal="left" vertical="center"/>
    </xf>
    <xf numFmtId="3" fontId="4" fillId="4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10" fillId="6" borderId="3" xfId="0" applyNumberFormat="1" applyFont="1" applyFill="1" applyBorder="1" applyAlignment="1">
      <alignment vertical="center"/>
    </xf>
    <xf numFmtId="3" fontId="6" fillId="0" borderId="12" xfId="0" applyNumberFormat="1" applyFont="1" applyFill="1" applyBorder="1"/>
    <xf numFmtId="3" fontId="6" fillId="0" borderId="34" xfId="0" applyNumberFormat="1" applyFont="1" applyFill="1" applyBorder="1"/>
    <xf numFmtId="3" fontId="6" fillId="0" borderId="4" xfId="0" applyNumberFormat="1" applyFont="1" applyFill="1" applyBorder="1" applyAlignment="1"/>
    <xf numFmtId="3" fontId="4" fillId="4" borderId="34" xfId="0" applyNumberFormat="1" applyFont="1" applyFill="1" applyBorder="1" applyAlignment="1"/>
    <xf numFmtId="3" fontId="10" fillId="0" borderId="31" xfId="0" applyNumberFormat="1" applyFont="1" applyFill="1" applyBorder="1" applyAlignment="1"/>
    <xf numFmtId="3" fontId="6" fillId="6" borderId="12" xfId="0" applyNumberFormat="1" applyFont="1" applyFill="1" applyBorder="1" applyAlignment="1">
      <alignment horizontal="left" vertical="center"/>
    </xf>
    <xf numFmtId="3" fontId="4" fillId="4" borderId="0" xfId="0" applyNumberFormat="1" applyFont="1" applyFill="1" applyAlignment="1">
      <alignment vertical="center"/>
    </xf>
    <xf numFmtId="3" fontId="5" fillId="0" borderId="0" xfId="0" applyNumberFormat="1" applyFont="1" applyFill="1"/>
    <xf numFmtId="3" fontId="6" fillId="0" borderId="38" xfId="0" applyNumberFormat="1" applyFont="1" applyFill="1" applyBorder="1"/>
    <xf numFmtId="3" fontId="6" fillId="0" borderId="39" xfId="0" applyNumberFormat="1" applyFont="1" applyFill="1" applyBorder="1" applyAlignment="1"/>
    <xf numFmtId="0" fontId="1" fillId="0" borderId="0" xfId="0" applyFont="1" applyFill="1"/>
    <xf numFmtId="0" fontId="6" fillId="6" borderId="12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/>
    </xf>
    <xf numFmtId="3" fontId="6" fillId="0" borderId="33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/>
    </xf>
    <xf numFmtId="164" fontId="6" fillId="0" borderId="12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6" fillId="0" borderId="12" xfId="0" applyNumberFormat="1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12" xfId="0" applyNumberFormat="1" applyFont="1" applyFill="1" applyBorder="1"/>
    <xf numFmtId="3" fontId="10" fillId="0" borderId="5" xfId="0" applyNumberFormat="1" applyFont="1" applyFill="1" applyBorder="1" applyAlignment="1">
      <alignment vertical="center"/>
    </xf>
    <xf numFmtId="3" fontId="10" fillId="0" borderId="31" xfId="0" applyNumberFormat="1" applyFont="1" applyFill="1" applyBorder="1" applyAlignment="1">
      <alignment vertical="center"/>
    </xf>
    <xf numFmtId="3" fontId="10" fillId="0" borderId="7" xfId="0" applyNumberFormat="1" applyFont="1" applyFill="1" applyBorder="1" applyAlignment="1">
      <alignment vertical="center"/>
    </xf>
    <xf numFmtId="3" fontId="6" fillId="0" borderId="34" xfId="0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4" fillId="3" borderId="9" xfId="0" applyNumberFormat="1" applyFont="1" applyFill="1" applyBorder="1" applyAlignment="1">
      <alignment vertical="center"/>
    </xf>
    <xf numFmtId="3" fontId="4" fillId="4" borderId="33" xfId="0" applyNumberFormat="1" applyFont="1" applyFill="1" applyBorder="1" applyAlignment="1"/>
    <xf numFmtId="3" fontId="4" fillId="4" borderId="12" xfId="0" applyNumberFormat="1" applyFont="1" applyFill="1" applyBorder="1" applyAlignment="1"/>
    <xf numFmtId="3" fontId="4" fillId="4" borderId="12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/>
    <xf numFmtId="0" fontId="5" fillId="0" borderId="0" xfId="0" applyFont="1" applyFill="1" applyAlignment="1">
      <alignment vertical="center"/>
    </xf>
    <xf numFmtId="3" fontId="5" fillId="0" borderId="23" xfId="0" applyNumberFormat="1" applyFont="1" applyFill="1" applyBorder="1" applyAlignment="1"/>
    <xf numFmtId="164" fontId="5" fillId="0" borderId="36" xfId="0" applyNumberFormat="1" applyFont="1" applyFill="1" applyBorder="1" applyAlignment="1"/>
    <xf numFmtId="3" fontId="5" fillId="0" borderId="36" xfId="0" applyNumberFormat="1" applyFont="1" applyFill="1" applyBorder="1" applyAlignment="1"/>
    <xf numFmtId="164" fontId="5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0" fillId="4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/>
    </xf>
    <xf numFmtId="164" fontId="11" fillId="4" borderId="17" xfId="0" applyNumberFormat="1" applyFont="1" applyFill="1" applyBorder="1" applyAlignment="1">
      <alignment horizontal="right" vertical="center" shrinkToFit="1"/>
    </xf>
    <xf numFmtId="164" fontId="4" fillId="4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/>
    <xf numFmtId="3" fontId="4" fillId="0" borderId="0" xfId="0" applyNumberFormat="1" applyFont="1" applyFill="1"/>
    <xf numFmtId="0" fontId="4" fillId="0" borderId="40" xfId="0" applyFont="1" applyFill="1" applyBorder="1" applyAlignment="1">
      <alignment horizontal="left" vertical="center"/>
    </xf>
    <xf numFmtId="3" fontId="4" fillId="0" borderId="41" xfId="0" applyNumberFormat="1" applyFont="1" applyFill="1" applyBorder="1" applyAlignment="1">
      <alignment vertical="center"/>
    </xf>
    <xf numFmtId="164" fontId="4" fillId="0" borderId="42" xfId="0" applyNumberFormat="1" applyFont="1" applyFill="1" applyBorder="1" applyAlignment="1">
      <alignment vertical="center"/>
    </xf>
    <xf numFmtId="0" fontId="4" fillId="5" borderId="28" xfId="0" applyFont="1" applyFill="1" applyBorder="1" applyAlignment="1">
      <alignment horizontal="left" vertical="center"/>
    </xf>
    <xf numFmtId="3" fontId="4" fillId="5" borderId="43" xfId="0" applyNumberFormat="1" applyFont="1" applyFill="1" applyBorder="1" applyAlignment="1">
      <alignment vertical="center"/>
    </xf>
    <xf numFmtId="164" fontId="4" fillId="5" borderId="30" xfId="0" applyNumberFormat="1" applyFont="1" applyFill="1" applyBorder="1" applyAlignment="1">
      <alignment horizontal="right" vertical="top" shrinkToFit="1"/>
    </xf>
    <xf numFmtId="3" fontId="4" fillId="5" borderId="29" xfId="0" applyNumberFormat="1" applyFont="1" applyFill="1" applyBorder="1" applyAlignment="1">
      <alignment vertical="center"/>
    </xf>
    <xf numFmtId="164" fontId="6" fillId="6" borderId="12" xfId="0" applyNumberFormat="1" applyFont="1" applyFill="1" applyBorder="1" applyAlignment="1">
      <alignment horizontal="right" vertical="center"/>
    </xf>
    <xf numFmtId="3" fontId="6" fillId="6" borderId="33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right"/>
    </xf>
    <xf numFmtId="0" fontId="5" fillId="0" borderId="31" xfId="0" applyFont="1" applyFill="1" applyBorder="1"/>
    <xf numFmtId="0" fontId="10" fillId="0" borderId="4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164" fontId="5" fillId="2" borderId="36" xfId="0" applyNumberFormat="1" applyFont="1" applyFill="1" applyBorder="1" applyAlignment="1">
      <alignment vertical="center"/>
    </xf>
    <xf numFmtId="3" fontId="5" fillId="2" borderId="36" xfId="0" applyNumberFormat="1" applyFont="1" applyFill="1" applyBorder="1" applyAlignment="1">
      <alignment vertical="center"/>
    </xf>
    <xf numFmtId="0" fontId="10" fillId="2" borderId="4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164" fontId="4" fillId="0" borderId="30" xfId="0" applyNumberFormat="1" applyFont="1" applyFill="1" applyBorder="1" applyAlignment="1">
      <alignment horizontal="right" vertical="top"/>
    </xf>
    <xf numFmtId="164" fontId="4" fillId="0" borderId="46" xfId="0" applyNumberFormat="1" applyFont="1" applyFill="1" applyBorder="1" applyAlignment="1">
      <alignment horizontal="right" vertical="top"/>
    </xf>
    <xf numFmtId="0" fontId="10" fillId="2" borderId="47" xfId="0" applyFont="1" applyFill="1" applyBorder="1" applyAlignment="1">
      <alignment horizontal="center" vertical="center"/>
    </xf>
    <xf numFmtId="164" fontId="4" fillId="3" borderId="48" xfId="0" applyNumberFormat="1" applyFont="1" applyFill="1" applyBorder="1" applyAlignment="1">
      <alignment horizontal="right" vertical="top"/>
    </xf>
    <xf numFmtId="0" fontId="10" fillId="2" borderId="49" xfId="0" applyFont="1" applyFill="1" applyBorder="1" applyAlignment="1">
      <alignment horizontal="center" vertical="center"/>
    </xf>
    <xf numFmtId="164" fontId="4" fillId="0" borderId="50" xfId="0" applyNumberFormat="1" applyFont="1" applyFill="1" applyBorder="1" applyAlignment="1">
      <alignment vertical="center"/>
    </xf>
    <xf numFmtId="0" fontId="10" fillId="5" borderId="45" xfId="0" applyFont="1" applyFill="1" applyBorder="1" applyAlignment="1">
      <alignment horizontal="center" vertical="center"/>
    </xf>
    <xf numFmtId="164" fontId="5" fillId="3" borderId="46" xfId="0" applyNumberFormat="1" applyFont="1" applyFill="1" applyBorder="1" applyAlignment="1">
      <alignment horizontal="right" shrinkToFit="1"/>
    </xf>
    <xf numFmtId="0" fontId="10" fillId="4" borderId="51" xfId="0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right"/>
    </xf>
    <xf numFmtId="0" fontId="10" fillId="4" borderId="53" xfId="0" applyFont="1" applyFill="1" applyBorder="1" applyAlignment="1">
      <alignment horizontal="center"/>
    </xf>
    <xf numFmtId="0" fontId="10" fillId="0" borderId="53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/>
    </xf>
    <xf numFmtId="164" fontId="6" fillId="0" borderId="52" xfId="0" applyNumberFormat="1" applyFont="1" applyFill="1" applyBorder="1" applyAlignment="1">
      <alignment horizontal="right" vertical="center"/>
    </xf>
    <xf numFmtId="0" fontId="10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left"/>
    </xf>
    <xf numFmtId="3" fontId="6" fillId="0" borderId="56" xfId="0" applyNumberFormat="1" applyFont="1" applyFill="1" applyBorder="1"/>
    <xf numFmtId="3" fontId="6" fillId="0" borderId="57" xfId="0" applyNumberFormat="1" applyFont="1" applyFill="1" applyBorder="1" applyAlignment="1"/>
    <xf numFmtId="164" fontId="6" fillId="0" borderId="58" xfId="0" applyNumberFormat="1" applyFont="1" applyFill="1" applyBorder="1" applyAlignment="1">
      <alignment horizontal="right" vertical="center"/>
    </xf>
    <xf numFmtId="164" fontId="6" fillId="0" borderId="5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vertical="center"/>
    </xf>
    <xf numFmtId="164" fontId="6" fillId="0" borderId="31" xfId="0" applyNumberFormat="1" applyFont="1" applyFill="1" applyBorder="1" applyAlignment="1">
      <alignment vertical="center"/>
    </xf>
    <xf numFmtId="164" fontId="6" fillId="0" borderId="23" xfId="0" applyNumberFormat="1" applyFont="1" applyFill="1" applyBorder="1" applyAlignment="1">
      <alignment vertical="center"/>
    </xf>
    <xf numFmtId="164" fontId="6" fillId="0" borderId="36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3" fontId="5" fillId="0" borderId="0" xfId="0" applyNumberFormat="1" applyFont="1" applyFill="1" applyAlignment="1"/>
    <xf numFmtId="3" fontId="1" fillId="0" borderId="0" xfId="0" applyNumberFormat="1" applyFont="1" applyFill="1"/>
    <xf numFmtId="164" fontId="10" fillId="0" borderId="27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164" fontId="5" fillId="3" borderId="42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5" fillId="3" borderId="26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textRotation="90"/>
    </xf>
    <xf numFmtId="0" fontId="5" fillId="3" borderId="20" xfId="0" applyFont="1" applyFill="1" applyBorder="1" applyAlignment="1">
      <alignment horizontal="center" vertical="center" textRotation="90"/>
    </xf>
    <xf numFmtId="0" fontId="5" fillId="3" borderId="21" xfId="0" applyFont="1" applyFill="1" applyBorder="1" applyAlignment="1">
      <alignment horizontal="center" vertical="center" textRotation="90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 wrapText="1"/>
    </xf>
    <xf numFmtId="3" fontId="4" fillId="3" borderId="20" xfId="0" applyNumberFormat="1" applyFont="1" applyFill="1" applyBorder="1" applyAlignment="1">
      <alignment horizontal="center" vertical="center" wrapText="1"/>
    </xf>
    <xf numFmtId="3" fontId="4" fillId="3" borderId="21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4" fillId="3" borderId="35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10" fillId="0" borderId="4" xfId="1" applyNumberFormat="1" applyFont="1" applyFill="1" applyBorder="1" applyAlignment="1">
      <alignment horizontal="center" vertical="center"/>
    </xf>
    <xf numFmtId="3" fontId="10" fillId="0" borderId="23" xfId="1" applyNumberFormat="1" applyFont="1" applyFill="1" applyBorder="1" applyAlignment="1">
      <alignment horizontal="center" vertical="center"/>
    </xf>
    <xf numFmtId="3" fontId="10" fillId="0" borderId="24" xfId="1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/>
    <xf numFmtId="0" fontId="5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164" fontId="5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</cellXfs>
  <cellStyles count="2">
    <cellStyle name="Normální" xfId="0" builtinId="0"/>
    <cellStyle name="normální_Sešit1" xfId="1" xr:uid="{00000000-0005-0000-0000-000001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Z118"/>
  <sheetViews>
    <sheetView showGridLines="0" tabSelected="1" view="pageBreakPreview" topLeftCell="A55" zoomScaleNormal="100" zoomScaleSheetLayoutView="100" workbookViewId="0">
      <selection activeCell="B35" sqref="B35"/>
    </sheetView>
  </sheetViews>
  <sheetFormatPr defaultColWidth="9.140625" defaultRowHeight="12.75" x14ac:dyDescent="0.2"/>
  <cols>
    <col min="1" max="1" width="5.28515625" style="81" customWidth="1"/>
    <col min="2" max="2" width="59.5703125" style="81" customWidth="1"/>
    <col min="3" max="3" width="20.28515625" style="176" hidden="1" customWidth="1"/>
    <col min="4" max="4" width="23.5703125" style="176" customWidth="1"/>
    <col min="5" max="5" width="20.28515625" style="176" customWidth="1"/>
    <col min="6" max="6" width="8.140625" style="212" customWidth="1"/>
    <col min="7" max="7" width="20.28515625" style="176" customWidth="1"/>
    <col min="8" max="8" width="7.140625" style="212" customWidth="1"/>
    <col min="9" max="9" width="13.42578125" style="81" customWidth="1"/>
    <col min="10" max="16384" width="9.140625" style="81"/>
  </cols>
  <sheetData>
    <row r="1" spans="1:182" ht="25.5" customHeight="1" thickBot="1" x14ac:dyDescent="0.3">
      <c r="A1" s="1" t="s">
        <v>78</v>
      </c>
      <c r="C1" s="110"/>
      <c r="D1" s="110"/>
      <c r="E1" s="1"/>
      <c r="F1" s="111"/>
      <c r="G1" s="1"/>
      <c r="H1" s="81" t="s">
        <v>48</v>
      </c>
    </row>
    <row r="2" spans="1:182" ht="17.25" customHeight="1" thickTop="1" thickBot="1" x14ac:dyDescent="0.3">
      <c r="A2" s="186" t="s">
        <v>29</v>
      </c>
      <c r="B2" s="183" t="s">
        <v>16</v>
      </c>
      <c r="C2" s="198" t="s">
        <v>50</v>
      </c>
      <c r="D2" s="192" t="s">
        <v>79</v>
      </c>
      <c r="E2" s="195" t="s">
        <v>46</v>
      </c>
      <c r="F2" s="196"/>
      <c r="G2" s="196"/>
      <c r="H2" s="197"/>
    </row>
    <row r="3" spans="1:182" s="2" customFormat="1" ht="18.75" customHeight="1" thickTop="1" x14ac:dyDescent="0.2">
      <c r="A3" s="187"/>
      <c r="B3" s="184"/>
      <c r="C3" s="193"/>
      <c r="D3" s="193"/>
      <c r="E3" s="199">
        <v>2026</v>
      </c>
      <c r="F3" s="180" t="s">
        <v>64</v>
      </c>
      <c r="G3" s="199">
        <v>2027</v>
      </c>
      <c r="H3" s="180" t="s">
        <v>80</v>
      </c>
    </row>
    <row r="4" spans="1:182" s="3" customFormat="1" ht="31.5" customHeight="1" x14ac:dyDescent="0.2">
      <c r="A4" s="187"/>
      <c r="B4" s="184"/>
      <c r="C4" s="193"/>
      <c r="D4" s="193"/>
      <c r="E4" s="200"/>
      <c r="F4" s="181"/>
      <c r="G4" s="200"/>
      <c r="H4" s="181"/>
    </row>
    <row r="5" spans="1:182" s="3" customFormat="1" ht="13.5" customHeight="1" thickBot="1" x14ac:dyDescent="0.25">
      <c r="A5" s="188"/>
      <c r="B5" s="185"/>
      <c r="C5" s="194"/>
      <c r="D5" s="194"/>
      <c r="E5" s="201"/>
      <c r="F5" s="182"/>
      <c r="G5" s="201"/>
      <c r="H5" s="182"/>
    </row>
    <row r="6" spans="1:182" s="38" customFormat="1" ht="17.100000000000001" customHeight="1" thickTop="1" x14ac:dyDescent="0.2">
      <c r="A6" s="112">
        <v>1</v>
      </c>
      <c r="B6" s="54" t="s">
        <v>0</v>
      </c>
      <c r="C6" s="85">
        <f>SUM(C7:C8)</f>
        <v>5462362</v>
      </c>
      <c r="D6" s="85">
        <f>SUM(D7:D9)</f>
        <v>7731270</v>
      </c>
      <c r="E6" s="36">
        <f>SUM(E7:E9)</f>
        <v>7962270</v>
      </c>
      <c r="F6" s="37">
        <f>E6/D6*100</f>
        <v>102.98786615911746</v>
      </c>
      <c r="G6" s="36">
        <f>SUM(G7:G9)</f>
        <v>8200200</v>
      </c>
      <c r="H6" s="37">
        <f t="shared" ref="H6:H24" si="0">G6/E6*100</f>
        <v>102.98821818401034</v>
      </c>
    </row>
    <row r="7" spans="1:182" s="4" customFormat="1" ht="17.100000000000001" customHeight="1" x14ac:dyDescent="0.2">
      <c r="A7" s="113">
        <v>2</v>
      </c>
      <c r="B7" s="55" t="s">
        <v>8</v>
      </c>
      <c r="C7" s="84">
        <v>5461152</v>
      </c>
      <c r="D7" s="134">
        <v>7700000</v>
      </c>
      <c r="E7" s="8">
        <f>D7*1.03</f>
        <v>7931000</v>
      </c>
      <c r="F7" s="9">
        <f t="shared" ref="F7:F24" si="1">E7/D7*100</f>
        <v>103</v>
      </c>
      <c r="G7" s="8">
        <f>E7*1.03</f>
        <v>8168930</v>
      </c>
      <c r="H7" s="9">
        <f t="shared" si="0"/>
        <v>103</v>
      </c>
    </row>
    <row r="8" spans="1:182" s="4" customFormat="1" ht="17.100000000000001" customHeight="1" x14ac:dyDescent="0.2">
      <c r="A8" s="113">
        <v>3</v>
      </c>
      <c r="B8" s="55" t="s">
        <v>9</v>
      </c>
      <c r="C8" s="84">
        <v>1210</v>
      </c>
      <c r="D8" s="134">
        <v>1370</v>
      </c>
      <c r="E8" s="8">
        <v>1370</v>
      </c>
      <c r="F8" s="9">
        <f t="shared" si="1"/>
        <v>100</v>
      </c>
      <c r="G8" s="8">
        <v>1370</v>
      </c>
      <c r="H8" s="9">
        <f t="shared" si="0"/>
        <v>100</v>
      </c>
    </row>
    <row r="9" spans="1:182" s="4" customFormat="1" ht="17.100000000000001" customHeight="1" x14ac:dyDescent="0.2">
      <c r="A9" s="113">
        <v>4</v>
      </c>
      <c r="B9" s="55" t="s">
        <v>81</v>
      </c>
      <c r="C9" s="84"/>
      <c r="D9" s="134">
        <v>29900</v>
      </c>
      <c r="E9" s="8">
        <f>SUM(D9)</f>
        <v>29900</v>
      </c>
      <c r="F9" s="9">
        <f t="shared" si="1"/>
        <v>100</v>
      </c>
      <c r="G9" s="8">
        <f>SUM(E9)</f>
        <v>29900</v>
      </c>
      <c r="H9" s="9">
        <f t="shared" si="0"/>
        <v>100</v>
      </c>
    </row>
    <row r="10" spans="1:182" s="38" customFormat="1" ht="17.100000000000001" customHeight="1" x14ac:dyDescent="0.2">
      <c r="A10" s="114">
        <v>5</v>
      </c>
      <c r="B10" s="56" t="s">
        <v>1</v>
      </c>
      <c r="C10" s="88">
        <f>SUM(C11:C17)</f>
        <v>497922.5</v>
      </c>
      <c r="D10" s="88">
        <f>SUM(D11:D17)</f>
        <v>374097.30000000005</v>
      </c>
      <c r="E10" s="68">
        <f>SUM(E11:E17)</f>
        <v>357972</v>
      </c>
      <c r="F10" s="39">
        <f>E10/D10*100</f>
        <v>95.68954387000386</v>
      </c>
      <c r="G10" s="68">
        <f>SUM(G11:G17)</f>
        <v>357972</v>
      </c>
      <c r="H10" s="39">
        <f t="shared" si="0"/>
        <v>100</v>
      </c>
      <c r="FZ10" s="38">
        <v>761937.54647170787</v>
      </c>
    </row>
    <row r="11" spans="1:182" s="4" customFormat="1" ht="17.100000000000001" customHeight="1" x14ac:dyDescent="0.2">
      <c r="A11" s="113">
        <v>6</v>
      </c>
      <c r="B11" s="55" t="s">
        <v>11</v>
      </c>
      <c r="C11" s="87">
        <v>32657.3</v>
      </c>
      <c r="D11" s="133">
        <v>39941.300000000003</v>
      </c>
      <c r="E11" s="69">
        <f>D11</f>
        <v>39941.300000000003</v>
      </c>
      <c r="F11" s="9">
        <f t="shared" si="1"/>
        <v>100</v>
      </c>
      <c r="G11" s="69">
        <f t="shared" ref="G11:G18" si="2">E11</f>
        <v>39941.300000000003</v>
      </c>
      <c r="H11" s="9">
        <f t="shared" si="0"/>
        <v>100</v>
      </c>
    </row>
    <row r="12" spans="1:182" s="4" customFormat="1" ht="17.100000000000001" customHeight="1" x14ac:dyDescent="0.2">
      <c r="A12" s="113">
        <v>7</v>
      </c>
      <c r="B12" s="55" t="s">
        <v>12</v>
      </c>
      <c r="C12" s="87">
        <v>3025</v>
      </c>
      <c r="D12" s="133">
        <v>3910.3</v>
      </c>
      <c r="E12" s="69">
        <v>3910</v>
      </c>
      <c r="F12" s="9">
        <f t="shared" si="1"/>
        <v>99.992327954376904</v>
      </c>
      <c r="G12" s="69">
        <f t="shared" si="2"/>
        <v>3910</v>
      </c>
      <c r="H12" s="9">
        <f t="shared" si="0"/>
        <v>100</v>
      </c>
    </row>
    <row r="13" spans="1:182" s="4" customFormat="1" ht="17.100000000000001" customHeight="1" x14ac:dyDescent="0.2">
      <c r="A13" s="113">
        <v>8</v>
      </c>
      <c r="B13" s="55" t="s">
        <v>40</v>
      </c>
      <c r="C13" s="86">
        <f>154510+1330</f>
        <v>155840</v>
      </c>
      <c r="D13" s="133">
        <f>1356.3+25056</f>
        <v>26412.3</v>
      </c>
      <c r="E13" s="69">
        <f>D13</f>
        <v>26412.3</v>
      </c>
      <c r="F13" s="9">
        <f t="shared" si="1"/>
        <v>100</v>
      </c>
      <c r="G13" s="69">
        <f t="shared" si="2"/>
        <v>26412.3</v>
      </c>
      <c r="H13" s="9">
        <f t="shared" si="0"/>
        <v>100</v>
      </c>
    </row>
    <row r="14" spans="1:182" s="4" customFormat="1" ht="17.100000000000001" customHeight="1" x14ac:dyDescent="0.2">
      <c r="A14" s="113">
        <v>9</v>
      </c>
      <c r="B14" s="55" t="s">
        <v>13</v>
      </c>
      <c r="C14" s="87">
        <v>4000.2</v>
      </c>
      <c r="D14" s="133">
        <v>46222.400000000001</v>
      </c>
      <c r="E14" s="69">
        <v>30097.4</v>
      </c>
      <c r="F14" s="9">
        <f t="shared" si="1"/>
        <v>65.11431686801204</v>
      </c>
      <c r="G14" s="69">
        <f t="shared" si="2"/>
        <v>30097.4</v>
      </c>
      <c r="H14" s="9">
        <f t="shared" si="0"/>
        <v>100</v>
      </c>
      <c r="N14" s="4" t="s">
        <v>49</v>
      </c>
    </row>
    <row r="15" spans="1:182" s="4" customFormat="1" ht="17.100000000000001" customHeight="1" x14ac:dyDescent="0.2">
      <c r="A15" s="113">
        <v>10</v>
      </c>
      <c r="B15" s="55" t="s">
        <v>14</v>
      </c>
      <c r="C15" s="86">
        <v>257871</v>
      </c>
      <c r="D15" s="133">
        <v>256970</v>
      </c>
      <c r="E15" s="69">
        <f>D15</f>
        <v>256970</v>
      </c>
      <c r="F15" s="9">
        <f t="shared" si="1"/>
        <v>100</v>
      </c>
      <c r="G15" s="69">
        <f t="shared" si="2"/>
        <v>256970</v>
      </c>
      <c r="H15" s="9">
        <f t="shared" si="0"/>
        <v>100</v>
      </c>
    </row>
    <row r="16" spans="1:182" s="4" customFormat="1" ht="17.100000000000001" customHeight="1" x14ac:dyDescent="0.2">
      <c r="A16" s="113">
        <v>11</v>
      </c>
      <c r="B16" s="55" t="s">
        <v>15</v>
      </c>
      <c r="C16" s="86">
        <v>34000</v>
      </c>
      <c r="D16" s="133">
        <v>100</v>
      </c>
      <c r="E16" s="69">
        <f>D16</f>
        <v>100</v>
      </c>
      <c r="F16" s="9">
        <f t="shared" si="1"/>
        <v>100</v>
      </c>
      <c r="G16" s="69">
        <f t="shared" si="2"/>
        <v>100</v>
      </c>
      <c r="H16" s="9">
        <f t="shared" si="0"/>
        <v>100</v>
      </c>
    </row>
    <row r="17" spans="1:8" s="4" customFormat="1" ht="17.100000000000001" customHeight="1" x14ac:dyDescent="0.2">
      <c r="A17" s="113">
        <v>12</v>
      </c>
      <c r="B17" s="55" t="s">
        <v>41</v>
      </c>
      <c r="C17" s="86">
        <v>10529</v>
      </c>
      <c r="D17" s="133">
        <v>541</v>
      </c>
      <c r="E17" s="69">
        <f>D17</f>
        <v>541</v>
      </c>
      <c r="F17" s="9">
        <f t="shared" si="1"/>
        <v>100</v>
      </c>
      <c r="G17" s="69">
        <f t="shared" si="2"/>
        <v>541</v>
      </c>
      <c r="H17" s="9">
        <f t="shared" si="0"/>
        <v>100</v>
      </c>
    </row>
    <row r="18" spans="1:8" s="38" customFormat="1" ht="17.100000000000001" customHeight="1" x14ac:dyDescent="0.2">
      <c r="A18" s="114">
        <v>13</v>
      </c>
      <c r="B18" s="56" t="s">
        <v>2</v>
      </c>
      <c r="C18" s="102">
        <v>10210</v>
      </c>
      <c r="D18" s="102">
        <v>4400</v>
      </c>
      <c r="E18" s="68">
        <v>10000</v>
      </c>
      <c r="F18" s="39">
        <f t="shared" si="1"/>
        <v>227.27272727272728</v>
      </c>
      <c r="G18" s="68">
        <f t="shared" si="2"/>
        <v>10000</v>
      </c>
      <c r="H18" s="39">
        <f t="shared" si="0"/>
        <v>100</v>
      </c>
    </row>
    <row r="19" spans="1:8" s="38" customFormat="1" ht="17.100000000000001" customHeight="1" x14ac:dyDescent="0.2">
      <c r="A19" s="114">
        <v>14</v>
      </c>
      <c r="B19" s="56" t="s">
        <v>73</v>
      </c>
      <c r="C19" s="88">
        <f>SUM(C20:C22)</f>
        <v>134643.5</v>
      </c>
      <c r="D19" s="88">
        <f>SUM(D20:D24)</f>
        <v>15417867.699999999</v>
      </c>
      <c r="E19" s="68">
        <f>SUM(E20:E24)</f>
        <v>15417867.699999999</v>
      </c>
      <c r="F19" s="40">
        <f t="shared" si="1"/>
        <v>100</v>
      </c>
      <c r="G19" s="68">
        <f>SUM(G20:G24)</f>
        <v>15417867.699999999</v>
      </c>
      <c r="H19" s="63">
        <f t="shared" si="0"/>
        <v>100</v>
      </c>
    </row>
    <row r="20" spans="1:8" s="4" customFormat="1" ht="17.100000000000001" customHeight="1" x14ac:dyDescent="0.2">
      <c r="A20" s="113">
        <v>15</v>
      </c>
      <c r="B20" s="22" t="s">
        <v>10</v>
      </c>
      <c r="C20" s="89">
        <v>109631.5</v>
      </c>
      <c r="D20" s="89">
        <v>173705.7</v>
      </c>
      <c r="E20" s="10">
        <f>D20</f>
        <v>173705.7</v>
      </c>
      <c r="F20" s="9">
        <f t="shared" si="1"/>
        <v>100</v>
      </c>
      <c r="G20" s="10">
        <f>E20</f>
        <v>173705.7</v>
      </c>
      <c r="H20" s="25">
        <f t="shared" si="0"/>
        <v>100</v>
      </c>
    </row>
    <row r="21" spans="1:8" s="4" customFormat="1" ht="17.100000000000001" customHeight="1" x14ac:dyDescent="0.2">
      <c r="A21" s="113">
        <v>16</v>
      </c>
      <c r="B21" s="22" t="s">
        <v>82</v>
      </c>
      <c r="C21" s="89"/>
      <c r="D21" s="89">
        <v>225000</v>
      </c>
      <c r="E21" s="10">
        <v>225000</v>
      </c>
      <c r="F21" s="9">
        <f t="shared" si="1"/>
        <v>100</v>
      </c>
      <c r="G21" s="10">
        <f>E21</f>
        <v>225000</v>
      </c>
      <c r="H21" s="25">
        <f t="shared" si="0"/>
        <v>100</v>
      </c>
    </row>
    <row r="22" spans="1:8" s="4" customFormat="1" ht="17.100000000000001" customHeight="1" x14ac:dyDescent="0.2">
      <c r="A22" s="113">
        <v>17</v>
      </c>
      <c r="B22" s="22" t="s">
        <v>83</v>
      </c>
      <c r="C22" s="103">
        <v>25012</v>
      </c>
      <c r="D22" s="89">
        <v>15003670</v>
      </c>
      <c r="E22" s="166">
        <f>D22</f>
        <v>15003670</v>
      </c>
      <c r="F22" s="9">
        <f t="shared" si="1"/>
        <v>100</v>
      </c>
      <c r="G22" s="10">
        <f>E22</f>
        <v>15003670</v>
      </c>
      <c r="H22" s="25">
        <f t="shared" si="0"/>
        <v>100</v>
      </c>
    </row>
    <row r="23" spans="1:8" s="4" customFormat="1" ht="17.100000000000001" customHeight="1" x14ac:dyDescent="0.2">
      <c r="A23" s="113">
        <v>18</v>
      </c>
      <c r="B23" s="22" t="s">
        <v>85</v>
      </c>
      <c r="C23" s="103">
        <v>25012</v>
      </c>
      <c r="D23" s="89">
        <v>195</v>
      </c>
      <c r="E23" s="166">
        <f>D23</f>
        <v>195</v>
      </c>
      <c r="F23" s="9">
        <f t="shared" ref="F23" si="3">E23/D23*100</f>
        <v>100</v>
      </c>
      <c r="G23" s="10">
        <f>E23</f>
        <v>195</v>
      </c>
      <c r="H23" s="25">
        <f t="shared" ref="H23" si="4">G23/E23*100</f>
        <v>100</v>
      </c>
    </row>
    <row r="24" spans="1:8" s="4" customFormat="1" ht="17.100000000000001" customHeight="1" thickBot="1" x14ac:dyDescent="0.25">
      <c r="A24" s="169">
        <v>19</v>
      </c>
      <c r="B24" s="55" t="s">
        <v>84</v>
      </c>
      <c r="C24" s="170"/>
      <c r="D24" s="171">
        <v>15297</v>
      </c>
      <c r="E24" s="172">
        <f>SUM(D24)</f>
        <v>15297</v>
      </c>
      <c r="F24" s="9">
        <f t="shared" si="1"/>
        <v>100</v>
      </c>
      <c r="G24" s="174">
        <f>SUM(E24)</f>
        <v>15297</v>
      </c>
      <c r="H24" s="173">
        <f t="shared" si="0"/>
        <v>100</v>
      </c>
    </row>
    <row r="25" spans="1:8" s="21" customFormat="1" ht="27" customHeight="1" thickTop="1" thickBot="1" x14ac:dyDescent="0.3">
      <c r="A25" s="115">
        <v>20</v>
      </c>
      <c r="B25" s="57" t="s">
        <v>3</v>
      </c>
      <c r="C25" s="58">
        <f>SUM(C18:C19,C10,C6)</f>
        <v>6105138</v>
      </c>
      <c r="D25" s="58">
        <f>SUM(D18:D19,D10,D6)</f>
        <v>23527635</v>
      </c>
      <c r="E25" s="20">
        <f>SUM(E18:E19,E10,E6)</f>
        <v>23748109.699999999</v>
      </c>
      <c r="F25" s="62">
        <f>E25/D25*100</f>
        <v>100.93708823687548</v>
      </c>
      <c r="G25" s="20">
        <f>SUM(G18:G19,G10,G6)</f>
        <v>23986039.699999999</v>
      </c>
      <c r="H25" s="62">
        <f>G25/E25*100</f>
        <v>101.00189026834418</v>
      </c>
    </row>
    <row r="26" spans="1:8" s="3" customFormat="1" ht="14.25" hidden="1" thickTop="1" thickBot="1" x14ac:dyDescent="0.25">
      <c r="A26" s="137"/>
      <c r="B26" s="53"/>
      <c r="C26" s="205"/>
      <c r="D26" s="104"/>
      <c r="E26" s="106">
        <f>SUM(E97)</f>
        <v>0</v>
      </c>
      <c r="F26" s="107">
        <f>SUM(F97)</f>
        <v>0</v>
      </c>
      <c r="G26" s="106">
        <f>SUM(G97)+G95</f>
        <v>700000</v>
      </c>
      <c r="H26" s="107">
        <f>SUM(H97)</f>
        <v>0</v>
      </c>
    </row>
    <row r="27" spans="1:8" s="3" customFormat="1" ht="14.25" hidden="1" thickTop="1" thickBot="1" x14ac:dyDescent="0.25">
      <c r="A27" s="137"/>
      <c r="B27" s="53"/>
      <c r="C27" s="205"/>
      <c r="D27" s="104"/>
      <c r="E27" s="106">
        <f t="shared" ref="E27:H27" si="5">SUM(E25:E26)</f>
        <v>23748109.699999999</v>
      </c>
      <c r="F27" s="107">
        <f t="shared" si="5"/>
        <v>100.93708823687548</v>
      </c>
      <c r="G27" s="106">
        <f t="shared" si="5"/>
        <v>24686039.699999999</v>
      </c>
      <c r="H27" s="108">
        <f t="shared" si="5"/>
        <v>101.00189026834418</v>
      </c>
    </row>
    <row r="28" spans="1:8" s="3" customFormat="1" ht="14.25" hidden="1" thickTop="1" thickBot="1" x14ac:dyDescent="0.25">
      <c r="A28" s="137"/>
      <c r="B28" s="53"/>
      <c r="C28" s="205"/>
      <c r="D28" s="104"/>
      <c r="E28" s="106" t="e">
        <f>-SUM(#REF!)</f>
        <v>#REF!</v>
      </c>
      <c r="F28" s="107"/>
      <c r="G28" s="106" t="e">
        <f>-SUM(#REF!)</f>
        <v>#REF!</v>
      </c>
      <c r="H28" s="108" t="e">
        <f>-SUM(#REF!)</f>
        <v>#REF!</v>
      </c>
    </row>
    <row r="29" spans="1:8" s="3" customFormat="1" ht="14.25" hidden="1" thickTop="1" thickBot="1" x14ac:dyDescent="0.25">
      <c r="A29" s="137"/>
      <c r="B29" s="53"/>
      <c r="C29" s="205"/>
      <c r="D29" s="104"/>
      <c r="E29" s="106" t="e">
        <f t="shared" ref="E29:H29" si="6">SUM(E27:E28)</f>
        <v>#REF!</v>
      </c>
      <c r="F29" s="107">
        <f t="shared" si="6"/>
        <v>100.93708823687548</v>
      </c>
      <c r="G29" s="106" t="e">
        <f t="shared" si="6"/>
        <v>#REF!</v>
      </c>
      <c r="H29" s="108" t="e">
        <f t="shared" si="6"/>
        <v>#REF!</v>
      </c>
    </row>
    <row r="30" spans="1:8" s="3" customFormat="1" ht="14.25" hidden="1" thickTop="1" thickBot="1" x14ac:dyDescent="0.25">
      <c r="A30" s="137"/>
      <c r="B30" s="53"/>
      <c r="C30" s="205"/>
      <c r="D30" s="104"/>
      <c r="E30" s="106" t="e">
        <f>-SUM(#REF!)</f>
        <v>#REF!</v>
      </c>
      <c r="F30" s="108" t="e">
        <f>-SUM(#REF!)</f>
        <v>#REF!</v>
      </c>
      <c r="G30" s="106" t="e">
        <f>-SUM(#REF!)</f>
        <v>#REF!</v>
      </c>
      <c r="H30" s="108" t="e">
        <f>-SUM(#REF!)</f>
        <v>#REF!</v>
      </c>
    </row>
    <row r="31" spans="1:8" s="3" customFormat="1" ht="14.25" hidden="1" thickTop="1" thickBot="1" x14ac:dyDescent="0.25">
      <c r="A31" s="137"/>
      <c r="B31" s="53"/>
      <c r="C31" s="205"/>
      <c r="D31" s="104"/>
      <c r="E31" s="106" t="e">
        <f>-SUM(#REF!)</f>
        <v>#REF!</v>
      </c>
      <c r="F31" s="108" t="e">
        <f>-SUM(#REF!)</f>
        <v>#REF!</v>
      </c>
      <c r="G31" s="106" t="e">
        <f>-SUM(#REF!)-G95</f>
        <v>#REF!</v>
      </c>
      <c r="H31" s="108" t="e">
        <f>-SUM(#REF!)-H95</f>
        <v>#REF!</v>
      </c>
    </row>
    <row r="32" spans="1:8" s="3" customFormat="1" ht="14.25" hidden="1" thickTop="1" thickBot="1" x14ac:dyDescent="0.25">
      <c r="A32" s="137"/>
      <c r="B32" s="53"/>
      <c r="C32" s="205"/>
      <c r="D32" s="104"/>
      <c r="E32" s="106" t="e">
        <f t="shared" ref="E32:H32" si="7">SUM(E29:E31)</f>
        <v>#REF!</v>
      </c>
      <c r="F32" s="108" t="e">
        <f t="shared" si="7"/>
        <v>#REF!</v>
      </c>
      <c r="G32" s="106" t="e">
        <f t="shared" si="7"/>
        <v>#REF!</v>
      </c>
      <c r="H32" s="108" t="e">
        <f t="shared" si="7"/>
        <v>#REF!</v>
      </c>
    </row>
    <row r="33" spans="1:9" s="3" customFormat="1" ht="15.75" thickTop="1" thickBot="1" x14ac:dyDescent="0.25">
      <c r="A33" s="116">
        <v>21</v>
      </c>
      <c r="B33" s="59" t="s">
        <v>42</v>
      </c>
      <c r="C33" s="75">
        <v>-10527</v>
      </c>
      <c r="D33" s="75">
        <v>-15297</v>
      </c>
      <c r="E33" s="64">
        <v>-15297</v>
      </c>
      <c r="F33" s="66">
        <f>E33/D33*100</f>
        <v>100</v>
      </c>
      <c r="G33" s="64">
        <v>-15297</v>
      </c>
      <c r="H33" s="29">
        <f>G33/E33*100</f>
        <v>100</v>
      </c>
    </row>
    <row r="34" spans="1:9" s="3" customFormat="1" ht="24.75" customHeight="1" thickTop="1" thickBot="1" x14ac:dyDescent="0.3">
      <c r="A34" s="117">
        <v>22</v>
      </c>
      <c r="B34" s="60" t="s">
        <v>43</v>
      </c>
      <c r="C34" s="61">
        <f>C25+C33</f>
        <v>6094611</v>
      </c>
      <c r="D34" s="61">
        <f>D25+D33</f>
        <v>23512338</v>
      </c>
      <c r="E34" s="65">
        <f>E25+E33</f>
        <v>23732812.699999999</v>
      </c>
      <c r="F34" s="62">
        <f>E34/D34*100</f>
        <v>100.93769790141668</v>
      </c>
      <c r="G34" s="65">
        <f>G25+G33</f>
        <v>23970742.699999999</v>
      </c>
      <c r="H34" s="62">
        <f>G34/E34*100</f>
        <v>101.0025360373741</v>
      </c>
    </row>
    <row r="35" spans="1:9" s="3" customFormat="1" ht="16.5" customHeight="1" thickTop="1" thickBot="1" x14ac:dyDescent="0.25">
      <c r="B35" s="53"/>
      <c r="C35" s="124"/>
      <c r="D35" s="124"/>
      <c r="E35" s="124"/>
      <c r="F35" s="124"/>
      <c r="G35" s="124"/>
      <c r="H35" s="124"/>
    </row>
    <row r="36" spans="1:9" ht="17.25" customHeight="1" thickTop="1" thickBot="1" x14ac:dyDescent="0.3">
      <c r="A36" s="186" t="s">
        <v>29</v>
      </c>
      <c r="B36" s="189" t="s">
        <v>17</v>
      </c>
      <c r="C36" s="198" t="s">
        <v>50</v>
      </c>
      <c r="D36" s="192" t="s">
        <v>79</v>
      </c>
      <c r="E36" s="195" t="s">
        <v>46</v>
      </c>
      <c r="F36" s="196"/>
      <c r="G36" s="196"/>
      <c r="H36" s="197"/>
    </row>
    <row r="37" spans="1:9" s="2" customFormat="1" ht="18.75" customHeight="1" thickTop="1" x14ac:dyDescent="0.2">
      <c r="A37" s="187"/>
      <c r="B37" s="190"/>
      <c r="C37" s="193"/>
      <c r="D37" s="193"/>
      <c r="E37" s="199">
        <v>2026</v>
      </c>
      <c r="F37" s="180" t="s">
        <v>64</v>
      </c>
      <c r="G37" s="199">
        <v>2027</v>
      </c>
      <c r="H37" s="180" t="s">
        <v>80</v>
      </c>
    </row>
    <row r="38" spans="1:9" s="3" customFormat="1" ht="31.5" customHeight="1" x14ac:dyDescent="0.2">
      <c r="A38" s="187"/>
      <c r="B38" s="190"/>
      <c r="C38" s="193"/>
      <c r="D38" s="193"/>
      <c r="E38" s="200"/>
      <c r="F38" s="181"/>
      <c r="G38" s="200"/>
      <c r="H38" s="181"/>
    </row>
    <row r="39" spans="1:9" s="3" customFormat="1" ht="13.5" customHeight="1" thickBot="1" x14ac:dyDescent="0.25">
      <c r="A39" s="188"/>
      <c r="B39" s="191"/>
      <c r="C39" s="194"/>
      <c r="D39" s="194"/>
      <c r="E39" s="201"/>
      <c r="F39" s="182"/>
      <c r="G39" s="201"/>
      <c r="H39" s="182"/>
    </row>
    <row r="40" spans="1:9" s="42" customFormat="1" ht="32.25" customHeight="1" thickTop="1" x14ac:dyDescent="0.25">
      <c r="A40" s="112">
        <v>23</v>
      </c>
      <c r="B40" s="30" t="s">
        <v>33</v>
      </c>
      <c r="C40" s="31">
        <f>SUM(C41:C43)</f>
        <v>1581056</v>
      </c>
      <c r="D40" s="31">
        <f>SUM(D41:D43)</f>
        <v>2348666</v>
      </c>
      <c r="E40" s="31">
        <f>SUM(E41:E43)</f>
        <v>2086098.95</v>
      </c>
      <c r="F40" s="41">
        <f t="shared" ref="F40:F61" si="8">E40/D40*100</f>
        <v>88.820587942261682</v>
      </c>
      <c r="G40" s="31">
        <f>SUM(G41:G42,G43:G43)</f>
        <v>2142079.1475</v>
      </c>
      <c r="H40" s="39">
        <f t="shared" ref="H40:H62" si="9">G40/E40*100</f>
        <v>102.68348716152703</v>
      </c>
    </row>
    <row r="41" spans="1:9" s="11" customFormat="1" ht="17.25" customHeight="1" x14ac:dyDescent="0.25">
      <c r="A41" s="118">
        <v>24</v>
      </c>
      <c r="B41" s="26" t="s">
        <v>34</v>
      </c>
      <c r="C41" s="90">
        <f>961641-90400</f>
        <v>871241</v>
      </c>
      <c r="D41" s="90">
        <f>1596360-D43</f>
        <v>1518299</v>
      </c>
      <c r="E41" s="28">
        <f>(D41-250000+5000)*1.05</f>
        <v>1336963.95</v>
      </c>
      <c r="F41" s="29">
        <f t="shared" si="8"/>
        <v>88.05669700105183</v>
      </c>
      <c r="G41" s="28">
        <f>E41*1.05</f>
        <v>1403812.1475</v>
      </c>
      <c r="H41" s="29">
        <f t="shared" si="9"/>
        <v>105</v>
      </c>
    </row>
    <row r="42" spans="1:9" s="11" customFormat="1" ht="16.5" customHeight="1" x14ac:dyDescent="0.25">
      <c r="A42" s="118">
        <v>25</v>
      </c>
      <c r="B42" s="26" t="s">
        <v>35</v>
      </c>
      <c r="C42" s="90">
        <v>630915</v>
      </c>
      <c r="D42" s="90">
        <v>752306</v>
      </c>
      <c r="E42" s="28">
        <f>D42-65000-15000</f>
        <v>672306</v>
      </c>
      <c r="F42" s="29">
        <f t="shared" si="8"/>
        <v>89.366029248736552</v>
      </c>
      <c r="G42" s="28">
        <f>E42</f>
        <v>672306</v>
      </c>
      <c r="H42" s="29">
        <f t="shared" si="9"/>
        <v>100</v>
      </c>
    </row>
    <row r="43" spans="1:9" s="11" customFormat="1" ht="16.5" customHeight="1" x14ac:dyDescent="0.25">
      <c r="A43" s="118">
        <v>26</v>
      </c>
      <c r="B43" s="26" t="s">
        <v>71</v>
      </c>
      <c r="C43" s="70">
        <f>SUM(C44:C47)</f>
        <v>78900</v>
      </c>
      <c r="D43" s="70">
        <f>SUM(D44:D48)</f>
        <v>78061</v>
      </c>
      <c r="E43" s="70">
        <f>SUM(E44:E48)</f>
        <v>76829</v>
      </c>
      <c r="F43" s="29">
        <f t="shared" si="8"/>
        <v>98.421747095220397</v>
      </c>
      <c r="G43" s="70">
        <f>SUM(G44:G48)</f>
        <v>65961</v>
      </c>
      <c r="H43" s="29">
        <f t="shared" si="9"/>
        <v>85.854299808665999</v>
      </c>
      <c r="I43" s="125">
        <f>SUM(D41,D43)</f>
        <v>1596360</v>
      </c>
    </row>
    <row r="44" spans="1:9" s="6" customFormat="1" ht="16.5" customHeight="1" x14ac:dyDescent="0.2">
      <c r="A44" s="118">
        <v>27</v>
      </c>
      <c r="B44" s="22" t="s">
        <v>72</v>
      </c>
      <c r="C44" s="76">
        <v>12000</v>
      </c>
      <c r="D44" s="76">
        <v>9569</v>
      </c>
      <c r="E44" s="67">
        <v>9904</v>
      </c>
      <c r="F44" s="34">
        <f t="shared" si="8"/>
        <v>103.50088828508726</v>
      </c>
      <c r="G44" s="67">
        <v>7740</v>
      </c>
      <c r="H44" s="34">
        <f t="shared" si="9"/>
        <v>78.150242326332801</v>
      </c>
    </row>
    <row r="45" spans="1:9" s="6" customFormat="1" ht="16.5" customHeight="1" x14ac:dyDescent="0.2">
      <c r="A45" s="118">
        <v>28</v>
      </c>
      <c r="B45" s="22" t="s">
        <v>32</v>
      </c>
      <c r="C45" s="76">
        <v>56000</v>
      </c>
      <c r="D45" s="76">
        <v>65392</v>
      </c>
      <c r="E45" s="67">
        <v>65307</v>
      </c>
      <c r="F45" s="34">
        <f t="shared" si="8"/>
        <v>99.870014680694879</v>
      </c>
      <c r="G45" s="67">
        <v>58221</v>
      </c>
      <c r="H45" s="34">
        <f t="shared" si="9"/>
        <v>89.1497083007947</v>
      </c>
    </row>
    <row r="46" spans="1:9" s="6" customFormat="1" ht="16.5" hidden="1" customHeight="1" x14ac:dyDescent="0.2">
      <c r="A46" s="118">
        <v>29</v>
      </c>
      <c r="B46" s="22" t="s">
        <v>31</v>
      </c>
      <c r="C46" s="76">
        <v>8500</v>
      </c>
      <c r="D46" s="76">
        <v>0</v>
      </c>
      <c r="E46" s="67"/>
      <c r="F46" s="34"/>
      <c r="G46" s="67"/>
      <c r="H46" s="34"/>
    </row>
    <row r="47" spans="1:9" s="6" customFormat="1" ht="16.5" customHeight="1" x14ac:dyDescent="0.2">
      <c r="A47" s="118">
        <v>29</v>
      </c>
      <c r="B47" s="22" t="s">
        <v>47</v>
      </c>
      <c r="C47" s="76">
        <v>2400</v>
      </c>
      <c r="D47" s="76">
        <v>100</v>
      </c>
      <c r="E47" s="67">
        <v>0</v>
      </c>
      <c r="F47" s="34">
        <f t="shared" si="8"/>
        <v>0</v>
      </c>
      <c r="G47" s="67">
        <v>0</v>
      </c>
      <c r="H47" s="34">
        <v>0</v>
      </c>
    </row>
    <row r="48" spans="1:9" s="6" customFormat="1" ht="16.5" customHeight="1" x14ac:dyDescent="0.2">
      <c r="A48" s="118">
        <v>30</v>
      </c>
      <c r="B48" s="82" t="s">
        <v>61</v>
      </c>
      <c r="C48" s="76"/>
      <c r="D48" s="76">
        <v>3000</v>
      </c>
      <c r="E48" s="67">
        <v>1618</v>
      </c>
      <c r="F48" s="34">
        <f t="shared" si="8"/>
        <v>53.93333333333333</v>
      </c>
      <c r="G48" s="67">
        <v>0</v>
      </c>
      <c r="H48" s="34">
        <f>G48/E48*100</f>
        <v>0</v>
      </c>
    </row>
    <row r="49" spans="1:13" s="38" customFormat="1" ht="15" customHeight="1" x14ac:dyDescent="0.2">
      <c r="A49" s="119">
        <v>31</v>
      </c>
      <c r="B49" s="43" t="s">
        <v>18</v>
      </c>
      <c r="C49" s="91">
        <f>SUM(C50:C57)</f>
        <v>3385644</v>
      </c>
      <c r="D49" s="91">
        <f>SUM(D50:D57)</f>
        <v>4713202</v>
      </c>
      <c r="E49" s="31">
        <f>SUM(E50:E57)</f>
        <v>4848047.68</v>
      </c>
      <c r="F49" s="39">
        <f t="shared" si="8"/>
        <v>102.86102059703785</v>
      </c>
      <c r="G49" s="31">
        <f>SUM(G50:G57)</f>
        <v>4988849.7195999995</v>
      </c>
      <c r="H49" s="39">
        <f t="shared" si="9"/>
        <v>102.9043039362187</v>
      </c>
    </row>
    <row r="50" spans="1:13" s="11" customFormat="1" ht="16.5" customHeight="1" x14ac:dyDescent="0.25">
      <c r="A50" s="118">
        <v>32</v>
      </c>
      <c r="B50" s="26" t="s">
        <v>37</v>
      </c>
      <c r="C50" s="90">
        <v>632968</v>
      </c>
      <c r="D50" s="90">
        <v>579514</v>
      </c>
      <c r="E50" s="28">
        <f>D50*1.02</f>
        <v>591104.28</v>
      </c>
      <c r="F50" s="29">
        <f t="shared" si="8"/>
        <v>102</v>
      </c>
      <c r="G50" s="28">
        <f>E50*1.02</f>
        <v>602926.36560000002</v>
      </c>
      <c r="H50" s="29">
        <f t="shared" si="9"/>
        <v>102</v>
      </c>
    </row>
    <row r="51" spans="1:13" s="11" customFormat="1" ht="16.5" customHeight="1" x14ac:dyDescent="0.25">
      <c r="A51" s="118">
        <v>33</v>
      </c>
      <c r="B51" s="26" t="s">
        <v>62</v>
      </c>
      <c r="C51" s="90"/>
      <c r="D51" s="90">
        <v>114124</v>
      </c>
      <c r="E51" s="28">
        <f>D51</f>
        <v>114124</v>
      </c>
      <c r="F51" s="29">
        <f t="shared" si="8"/>
        <v>100</v>
      </c>
      <c r="G51" s="28">
        <f>E51</f>
        <v>114124</v>
      </c>
      <c r="H51" s="29">
        <f t="shared" si="9"/>
        <v>100</v>
      </c>
    </row>
    <row r="52" spans="1:13" s="11" customFormat="1" ht="16.5" customHeight="1" x14ac:dyDescent="0.25">
      <c r="A52" s="118">
        <v>34</v>
      </c>
      <c r="B52" s="26" t="s">
        <v>63</v>
      </c>
      <c r="C52" s="90"/>
      <c r="D52" s="90">
        <v>107323</v>
      </c>
      <c r="E52" s="28">
        <f>D52</f>
        <v>107323</v>
      </c>
      <c r="F52" s="29">
        <f t="shared" si="8"/>
        <v>100</v>
      </c>
      <c r="G52" s="28">
        <f>E52</f>
        <v>107323</v>
      </c>
      <c r="H52" s="29">
        <f t="shared" si="9"/>
        <v>100</v>
      </c>
    </row>
    <row r="53" spans="1:13" s="11" customFormat="1" ht="16.5" customHeight="1" x14ac:dyDescent="0.25">
      <c r="A53" s="118">
        <v>35</v>
      </c>
      <c r="B53" s="26" t="s">
        <v>65</v>
      </c>
      <c r="C53" s="90"/>
      <c r="D53" s="90">
        <v>52595</v>
      </c>
      <c r="E53" s="28">
        <f>D53</f>
        <v>52595</v>
      </c>
      <c r="F53" s="29">
        <f t="shared" si="8"/>
        <v>100</v>
      </c>
      <c r="G53" s="28">
        <f>E53</f>
        <v>52595</v>
      </c>
      <c r="H53" s="29">
        <f t="shared" si="9"/>
        <v>100</v>
      </c>
    </row>
    <row r="54" spans="1:13" s="11" customFormat="1" ht="16.5" customHeight="1" x14ac:dyDescent="0.25">
      <c r="A54" s="118">
        <v>36</v>
      </c>
      <c r="B54" s="26" t="s">
        <v>66</v>
      </c>
      <c r="C54" s="90">
        <v>867784</v>
      </c>
      <c r="D54" s="90">
        <v>1095540</v>
      </c>
      <c r="E54" s="28">
        <f>D54*1.01</f>
        <v>1106495.3999999999</v>
      </c>
      <c r="F54" s="29">
        <f t="shared" si="8"/>
        <v>101</v>
      </c>
      <c r="G54" s="28">
        <f>E54*1.01</f>
        <v>1117560.3539999998</v>
      </c>
      <c r="H54" s="29">
        <f t="shared" si="9"/>
        <v>101</v>
      </c>
    </row>
    <row r="55" spans="1:13" s="11" customFormat="1" ht="16.5" customHeight="1" x14ac:dyDescent="0.25">
      <c r="A55" s="118">
        <v>37</v>
      </c>
      <c r="B55" s="26" t="s">
        <v>67</v>
      </c>
      <c r="C55" s="90">
        <v>422311</v>
      </c>
      <c r="D55" s="90">
        <v>394406</v>
      </c>
      <c r="E55" s="28">
        <f>D55</f>
        <v>394406</v>
      </c>
      <c r="F55" s="29">
        <f t="shared" si="8"/>
        <v>100</v>
      </c>
      <c r="G55" s="28">
        <f>E55</f>
        <v>394406</v>
      </c>
      <c r="H55" s="29">
        <f t="shared" si="9"/>
        <v>100</v>
      </c>
    </row>
    <row r="56" spans="1:13" s="11" customFormat="1" ht="16.5" customHeight="1" x14ac:dyDescent="0.25">
      <c r="A56" s="118">
        <v>38</v>
      </c>
      <c r="B56" s="26" t="s">
        <v>68</v>
      </c>
      <c r="C56" s="90">
        <f>2056+19760+565</f>
        <v>22381</v>
      </c>
      <c r="D56" s="90">
        <v>123700</v>
      </c>
      <c r="E56" s="28">
        <f t="shared" ref="E56:E58" si="10">D56</f>
        <v>123700</v>
      </c>
      <c r="F56" s="29">
        <f t="shared" si="8"/>
        <v>100</v>
      </c>
      <c r="G56" s="28">
        <f t="shared" ref="G56" si="11">E56</f>
        <v>123700</v>
      </c>
      <c r="H56" s="29">
        <f t="shared" si="9"/>
        <v>100</v>
      </c>
    </row>
    <row r="57" spans="1:13" s="11" customFormat="1" ht="16.5" customHeight="1" x14ac:dyDescent="0.25">
      <c r="A57" s="118">
        <v>39</v>
      </c>
      <c r="B57" s="26" t="s">
        <v>69</v>
      </c>
      <c r="C57" s="90">
        <v>1440200</v>
      </c>
      <c r="D57" s="90">
        <v>2246000</v>
      </c>
      <c r="E57" s="28">
        <f>D57*1.05</f>
        <v>2358300</v>
      </c>
      <c r="F57" s="29">
        <f t="shared" si="8"/>
        <v>105</v>
      </c>
      <c r="G57" s="28">
        <f>E57*1.05</f>
        <v>2476215</v>
      </c>
      <c r="H57" s="29">
        <f t="shared" si="9"/>
        <v>105</v>
      </c>
    </row>
    <row r="58" spans="1:13" s="42" customFormat="1" ht="16.5" customHeight="1" x14ac:dyDescent="0.25">
      <c r="A58" s="119">
        <v>40</v>
      </c>
      <c r="B58" s="30" t="s">
        <v>19</v>
      </c>
      <c r="C58" s="91">
        <v>10529</v>
      </c>
      <c r="D58" s="91">
        <v>15838</v>
      </c>
      <c r="E58" s="31">
        <f t="shared" si="10"/>
        <v>15838</v>
      </c>
      <c r="F58" s="32">
        <f t="shared" si="8"/>
        <v>100</v>
      </c>
      <c r="G58" s="31">
        <f>E58</f>
        <v>15838</v>
      </c>
      <c r="H58" s="32">
        <f t="shared" si="9"/>
        <v>100</v>
      </c>
    </row>
    <row r="59" spans="1:13" s="42" customFormat="1" ht="15" x14ac:dyDescent="0.25">
      <c r="A59" s="119">
        <v>41</v>
      </c>
      <c r="B59" s="30" t="s">
        <v>20</v>
      </c>
      <c r="C59" s="92">
        <v>34000</v>
      </c>
      <c r="D59" s="92">
        <v>40000</v>
      </c>
      <c r="E59" s="33">
        <v>30000</v>
      </c>
      <c r="F59" s="32">
        <f t="shared" si="8"/>
        <v>75</v>
      </c>
      <c r="G59" s="33">
        <f>E59</f>
        <v>30000</v>
      </c>
      <c r="H59" s="32">
        <f>G59/E59*100</f>
        <v>100</v>
      </c>
    </row>
    <row r="60" spans="1:13" s="42" customFormat="1" ht="16.5" customHeight="1" x14ac:dyDescent="0.25">
      <c r="A60" s="119">
        <v>42</v>
      </c>
      <c r="B60" s="30" t="s">
        <v>77</v>
      </c>
      <c r="C60" s="92"/>
      <c r="D60" s="92">
        <v>15003670</v>
      </c>
      <c r="E60" s="33">
        <v>15003670</v>
      </c>
      <c r="F60" s="32">
        <v>0</v>
      </c>
      <c r="G60" s="33">
        <f>E60</f>
        <v>15003670</v>
      </c>
      <c r="H60" s="32">
        <f t="shared" si="9"/>
        <v>100</v>
      </c>
    </row>
    <row r="61" spans="1:13" s="38" customFormat="1" ht="18.75" customHeight="1" x14ac:dyDescent="0.2">
      <c r="A61" s="119">
        <v>43</v>
      </c>
      <c r="B61" s="30" t="s">
        <v>38</v>
      </c>
      <c r="C61" s="91">
        <f>SUM(C62:C77)</f>
        <v>1177726</v>
      </c>
      <c r="D61" s="91">
        <f>SUM(D62:D78)</f>
        <v>3082302</v>
      </c>
      <c r="E61" s="31">
        <f>SUM(E62)</f>
        <v>2551404</v>
      </c>
      <c r="F61" s="122">
        <f t="shared" si="8"/>
        <v>82.775925266245807</v>
      </c>
      <c r="G61" s="31">
        <f>SUM(G62)</f>
        <v>2319111</v>
      </c>
      <c r="H61" s="123">
        <f t="shared" si="9"/>
        <v>90.895483427947909</v>
      </c>
      <c r="M61" s="77"/>
    </row>
    <row r="62" spans="1:13" s="12" customFormat="1" ht="14.25" customHeight="1" x14ac:dyDescent="0.2">
      <c r="A62" s="118">
        <v>44</v>
      </c>
      <c r="B62" s="35" t="s">
        <v>53</v>
      </c>
      <c r="C62" s="93">
        <v>778157</v>
      </c>
      <c r="D62" s="93">
        <v>31945</v>
      </c>
      <c r="E62" s="202">
        <v>2551404</v>
      </c>
      <c r="F62" s="177">
        <f>E62/D61*100</f>
        <v>82.775925266245807</v>
      </c>
      <c r="G62" s="202">
        <v>2319111</v>
      </c>
      <c r="H62" s="177">
        <f t="shared" si="9"/>
        <v>90.895483427947909</v>
      </c>
    </row>
    <row r="63" spans="1:13" s="12" customFormat="1" ht="14.25" hidden="1" customHeight="1" x14ac:dyDescent="0.2">
      <c r="A63" s="118">
        <v>39</v>
      </c>
      <c r="B63" s="35" t="s">
        <v>39</v>
      </c>
      <c r="C63" s="94"/>
      <c r="D63" s="94"/>
      <c r="E63" s="203"/>
      <c r="F63" s="178"/>
      <c r="G63" s="203"/>
      <c r="H63" s="178"/>
    </row>
    <row r="64" spans="1:13" s="12" customFormat="1" ht="14.25" customHeight="1" x14ac:dyDescent="0.2">
      <c r="A64" s="118">
        <v>45</v>
      </c>
      <c r="B64" s="35" t="s">
        <v>54</v>
      </c>
      <c r="C64" s="94"/>
      <c r="D64" s="95">
        <v>469561</v>
      </c>
      <c r="E64" s="203"/>
      <c r="F64" s="178"/>
      <c r="G64" s="203"/>
      <c r="H64" s="178"/>
    </row>
    <row r="65" spans="1:8" s="12" customFormat="1" ht="14.25" customHeight="1" x14ac:dyDescent="0.2">
      <c r="A65" s="118">
        <v>46</v>
      </c>
      <c r="B65" s="35" t="s">
        <v>55</v>
      </c>
      <c r="C65" s="95">
        <v>399569</v>
      </c>
      <c r="D65" s="95">
        <v>54336</v>
      </c>
      <c r="E65" s="203"/>
      <c r="F65" s="178"/>
      <c r="G65" s="203"/>
      <c r="H65" s="178"/>
    </row>
    <row r="66" spans="1:8" s="12" customFormat="1" ht="14.25" customHeight="1" x14ac:dyDescent="0.2">
      <c r="A66" s="118">
        <v>47</v>
      </c>
      <c r="B66" s="35" t="s">
        <v>56</v>
      </c>
      <c r="C66" s="94">
        <v>0</v>
      </c>
      <c r="D66" s="94">
        <v>914264</v>
      </c>
      <c r="E66" s="203"/>
      <c r="F66" s="178"/>
      <c r="G66" s="203"/>
      <c r="H66" s="178"/>
    </row>
    <row r="67" spans="1:8" s="5" customFormat="1" ht="14.25" hidden="1" customHeight="1" x14ac:dyDescent="0.2">
      <c r="A67" s="118">
        <v>42</v>
      </c>
      <c r="B67" s="22" t="s">
        <v>21</v>
      </c>
      <c r="C67" s="96"/>
      <c r="D67" s="96"/>
      <c r="E67" s="203"/>
      <c r="F67" s="178"/>
      <c r="G67" s="203"/>
      <c r="H67" s="178"/>
    </row>
    <row r="68" spans="1:8" s="5" customFormat="1" ht="14.25" hidden="1" customHeight="1" x14ac:dyDescent="0.2">
      <c r="A68" s="118">
        <v>42.5</v>
      </c>
      <c r="B68" s="22" t="s">
        <v>22</v>
      </c>
      <c r="C68" s="96"/>
      <c r="D68" s="96"/>
      <c r="E68" s="203"/>
      <c r="F68" s="178"/>
      <c r="G68" s="203"/>
      <c r="H68" s="178"/>
    </row>
    <row r="69" spans="1:8" s="5" customFormat="1" ht="14.25" hidden="1" customHeight="1" x14ac:dyDescent="0.2">
      <c r="A69" s="118">
        <v>43</v>
      </c>
      <c r="B69" s="22" t="s">
        <v>23</v>
      </c>
      <c r="C69" s="96"/>
      <c r="D69" s="96"/>
      <c r="E69" s="203"/>
      <c r="F69" s="178"/>
      <c r="G69" s="203"/>
      <c r="H69" s="178"/>
    </row>
    <row r="70" spans="1:8" s="5" customFormat="1" ht="14.25" hidden="1" customHeight="1" x14ac:dyDescent="0.2">
      <c r="A70" s="118">
        <v>43.5</v>
      </c>
      <c r="B70" s="22" t="s">
        <v>24</v>
      </c>
      <c r="C70" s="96"/>
      <c r="D70" s="96"/>
      <c r="E70" s="203"/>
      <c r="F70" s="178"/>
      <c r="G70" s="203"/>
      <c r="H70" s="178"/>
    </row>
    <row r="71" spans="1:8" s="5" customFormat="1" ht="14.25" hidden="1" customHeight="1" x14ac:dyDescent="0.2">
      <c r="A71" s="118">
        <v>44</v>
      </c>
      <c r="B71" s="22" t="s">
        <v>30</v>
      </c>
      <c r="C71" s="96"/>
      <c r="D71" s="96"/>
      <c r="E71" s="203"/>
      <c r="F71" s="178"/>
      <c r="G71" s="203"/>
      <c r="H71" s="178"/>
    </row>
    <row r="72" spans="1:8" s="5" customFormat="1" ht="14.25" hidden="1" customHeight="1" x14ac:dyDescent="0.2">
      <c r="A72" s="118">
        <v>44.5</v>
      </c>
      <c r="B72" s="22" t="s">
        <v>25</v>
      </c>
      <c r="C72" s="96"/>
      <c r="D72" s="96"/>
      <c r="E72" s="203"/>
      <c r="F72" s="178"/>
      <c r="G72" s="203"/>
      <c r="H72" s="178"/>
    </row>
    <row r="73" spans="1:8" s="5" customFormat="1" ht="14.25" hidden="1" customHeight="1" x14ac:dyDescent="0.2">
      <c r="A73" s="118">
        <v>45</v>
      </c>
      <c r="B73" s="22" t="s">
        <v>28</v>
      </c>
      <c r="C73" s="96"/>
      <c r="D73" s="96"/>
      <c r="E73" s="203"/>
      <c r="F73" s="178"/>
      <c r="G73" s="203"/>
      <c r="H73" s="178"/>
    </row>
    <row r="74" spans="1:8" s="5" customFormat="1" ht="14.25" hidden="1" customHeight="1" x14ac:dyDescent="0.2">
      <c r="A74" s="118">
        <v>45.5</v>
      </c>
      <c r="B74" s="22" t="s">
        <v>26</v>
      </c>
      <c r="C74" s="96"/>
      <c r="D74" s="96"/>
      <c r="E74" s="203"/>
      <c r="F74" s="178"/>
      <c r="G74" s="203"/>
      <c r="H74" s="178"/>
    </row>
    <row r="75" spans="1:8" s="5" customFormat="1" ht="14.25" customHeight="1" x14ac:dyDescent="0.2">
      <c r="A75" s="118">
        <v>48</v>
      </c>
      <c r="B75" s="35" t="s">
        <v>57</v>
      </c>
      <c r="C75" s="96"/>
      <c r="D75" s="97">
        <v>27051</v>
      </c>
      <c r="E75" s="203"/>
      <c r="F75" s="178"/>
      <c r="G75" s="203"/>
      <c r="H75" s="178"/>
    </row>
    <row r="76" spans="1:8" s="5" customFormat="1" ht="14.25" customHeight="1" x14ac:dyDescent="0.2">
      <c r="A76" s="118">
        <v>49</v>
      </c>
      <c r="B76" s="35" t="s">
        <v>58</v>
      </c>
      <c r="C76" s="96"/>
      <c r="D76" s="97">
        <v>44845</v>
      </c>
      <c r="E76" s="203"/>
      <c r="F76" s="178"/>
      <c r="G76" s="203"/>
      <c r="H76" s="178"/>
    </row>
    <row r="77" spans="1:8" s="12" customFormat="1" ht="14.25" customHeight="1" x14ac:dyDescent="0.2">
      <c r="A77" s="118">
        <v>50</v>
      </c>
      <c r="B77" s="35" t="s">
        <v>59</v>
      </c>
      <c r="C77" s="97">
        <v>0</v>
      </c>
      <c r="D77" s="97">
        <v>1521097</v>
      </c>
      <c r="E77" s="203"/>
      <c r="F77" s="178"/>
      <c r="G77" s="203"/>
      <c r="H77" s="178"/>
    </row>
    <row r="78" spans="1:8" s="12" customFormat="1" ht="14.25" customHeight="1" thickBot="1" x14ac:dyDescent="0.25">
      <c r="A78" s="167">
        <v>51</v>
      </c>
      <c r="B78" s="35" t="s">
        <v>70</v>
      </c>
      <c r="C78" s="97">
        <v>0</v>
      </c>
      <c r="D78" s="97">
        <v>19203</v>
      </c>
      <c r="E78" s="204"/>
      <c r="F78" s="179"/>
      <c r="G78" s="204"/>
      <c r="H78" s="179"/>
    </row>
    <row r="79" spans="1:8" s="13" customFormat="1" ht="26.25" customHeight="1" thickTop="1" thickBot="1" x14ac:dyDescent="0.25">
      <c r="A79" s="120">
        <v>52</v>
      </c>
      <c r="B79" s="14" t="s">
        <v>4</v>
      </c>
      <c r="C79" s="15">
        <f>SUM(C40,C49,C58:C61)</f>
        <v>6188955</v>
      </c>
      <c r="D79" s="15">
        <f>SUM(D40,D49,D58:D61)</f>
        <v>25203678</v>
      </c>
      <c r="E79" s="15">
        <f>SUM(E40,E49,E58:E61)</f>
        <v>24535058.629999999</v>
      </c>
      <c r="F79" s="19">
        <f>E79/D79*100</f>
        <v>97.3471357236035</v>
      </c>
      <c r="G79" s="15">
        <f>SUM(G40,G49,G58:G61)</f>
        <v>24499547.8671</v>
      </c>
      <c r="H79" s="19">
        <f>G79/E79*100</f>
        <v>99.855265220941519</v>
      </c>
    </row>
    <row r="80" spans="1:8" s="105" customFormat="1" ht="13.5" hidden="1" customHeight="1" thickTop="1" x14ac:dyDescent="0.2">
      <c r="A80" s="139"/>
      <c r="B80" s="206"/>
      <c r="C80" s="98"/>
      <c r="D80" s="98"/>
      <c r="E80" s="98">
        <f t="shared" ref="E80:H80" si="12">-SUM(E99)</f>
        <v>213051</v>
      </c>
      <c r="F80" s="109">
        <f t="shared" si="12"/>
        <v>-91.064169911564946</v>
      </c>
      <c r="G80" s="98">
        <f t="shared" si="12"/>
        <v>186492</v>
      </c>
      <c r="H80" s="140">
        <f t="shared" si="12"/>
        <v>-87.533970739400431</v>
      </c>
    </row>
    <row r="81" spans="1:10" s="105" customFormat="1" ht="13.5" hidden="1" customHeight="1" x14ac:dyDescent="0.2">
      <c r="A81" s="139"/>
      <c r="B81" s="206"/>
      <c r="C81" s="98"/>
      <c r="D81" s="98"/>
      <c r="E81" s="98">
        <f t="shared" ref="E81:H81" si="13">SUM(E79:E80)</f>
        <v>24748109.629999999</v>
      </c>
      <c r="F81" s="109">
        <f t="shared" si="13"/>
        <v>6.2829658120385545</v>
      </c>
      <c r="G81" s="98">
        <f t="shared" si="13"/>
        <v>24686039.8671</v>
      </c>
      <c r="H81" s="140">
        <f t="shared" si="13"/>
        <v>12.321294481541088</v>
      </c>
    </row>
    <row r="82" spans="1:10" s="105" customFormat="1" ht="13.5" hidden="1" customHeight="1" x14ac:dyDescent="0.2">
      <c r="A82" s="139"/>
      <c r="B82" s="206"/>
      <c r="C82" s="98"/>
      <c r="D82" s="98"/>
      <c r="E82" s="98" t="e">
        <f>-SUM(#REF!)</f>
        <v>#REF!</v>
      </c>
      <c r="F82" s="109" t="e">
        <f>-SUM(#REF!)</f>
        <v>#REF!</v>
      </c>
      <c r="G82" s="98" t="e">
        <f>-SUM(#REF!)</f>
        <v>#REF!</v>
      </c>
      <c r="H82" s="141" t="e">
        <f>-SUM(#REF!)</f>
        <v>#REF!</v>
      </c>
    </row>
    <row r="83" spans="1:10" s="53" customFormat="1" ht="13.5" hidden="1" customHeight="1" x14ac:dyDescent="0.2">
      <c r="A83" s="139"/>
      <c r="B83" s="206"/>
      <c r="C83" s="98"/>
      <c r="D83" s="98"/>
      <c r="E83" s="98" t="e">
        <f t="shared" ref="E83:H83" si="14">SUM(E81:E82)</f>
        <v>#REF!</v>
      </c>
      <c r="F83" s="109" t="e">
        <f t="shared" si="14"/>
        <v>#REF!</v>
      </c>
      <c r="G83" s="98" t="e">
        <f t="shared" si="14"/>
        <v>#REF!</v>
      </c>
      <c r="H83" s="141" t="e">
        <f t="shared" si="14"/>
        <v>#REF!</v>
      </c>
    </row>
    <row r="84" spans="1:10" s="53" customFormat="1" ht="13.5" hidden="1" customHeight="1" x14ac:dyDescent="0.2">
      <c r="A84" s="139"/>
      <c r="B84" s="206"/>
      <c r="C84" s="98"/>
      <c r="D84" s="98"/>
      <c r="E84" s="98" t="e">
        <f>-SUM(#REF!)</f>
        <v>#REF!</v>
      </c>
      <c r="F84" s="98" t="e">
        <f>-SUM(#REF!)</f>
        <v>#REF!</v>
      </c>
      <c r="G84" s="98" t="e">
        <f>-SUM(#REF!)</f>
        <v>#REF!</v>
      </c>
      <c r="H84" s="141" t="e">
        <f>-SUM(#REF!)</f>
        <v>#REF!</v>
      </c>
    </row>
    <row r="85" spans="1:10" s="53" customFormat="1" ht="13.5" hidden="1" customHeight="1" x14ac:dyDescent="0.2">
      <c r="A85" s="139"/>
      <c r="B85" s="206"/>
      <c r="C85" s="98"/>
      <c r="D85" s="98"/>
      <c r="E85" s="98" t="e">
        <f>-SUM(#REF!)-#REF!</f>
        <v>#REF!</v>
      </c>
      <c r="F85" s="98" t="e">
        <f>-SUM(#REF!)-#REF!</f>
        <v>#REF!</v>
      </c>
      <c r="G85" s="98" t="e">
        <f>-SUM(#REF!)-#REF!</f>
        <v>#REF!</v>
      </c>
      <c r="H85" s="141" t="e">
        <f>-SUM(#REF!)-#REF!</f>
        <v>#REF!</v>
      </c>
    </row>
    <row r="86" spans="1:10" s="53" customFormat="1" ht="13.5" hidden="1" customHeight="1" x14ac:dyDescent="0.2">
      <c r="A86" s="139"/>
      <c r="B86" s="206"/>
      <c r="C86" s="98"/>
      <c r="D86" s="98"/>
      <c r="E86" s="98" t="e">
        <f>SUM(E83:E85)</f>
        <v>#REF!</v>
      </c>
      <c r="F86" s="109" t="e">
        <f>SUM(F83:F84)</f>
        <v>#REF!</v>
      </c>
      <c r="G86" s="98" t="e">
        <f>SUM(G83:G85)-G101</f>
        <v>#REF!</v>
      </c>
      <c r="H86" s="141" t="e">
        <f>SUM(H83:H85)-H101</f>
        <v>#REF!</v>
      </c>
    </row>
    <row r="87" spans="1:10" s="3" customFormat="1" ht="15.75" thickTop="1" thickBot="1" x14ac:dyDescent="0.25">
      <c r="A87" s="135">
        <v>53</v>
      </c>
      <c r="B87" s="59" t="s">
        <v>42</v>
      </c>
      <c r="C87" s="75">
        <v>-10527</v>
      </c>
      <c r="D87" s="75">
        <v>-15297</v>
      </c>
      <c r="E87" s="64">
        <v>-15297</v>
      </c>
      <c r="F87" s="66">
        <f>E87/D87*100</f>
        <v>100</v>
      </c>
      <c r="G87" s="64">
        <f>SUM(E87)</f>
        <v>-15297</v>
      </c>
      <c r="H87" s="29">
        <f>G87/E87*100</f>
        <v>100</v>
      </c>
      <c r="J87" s="78"/>
    </row>
    <row r="88" spans="1:10" s="3" customFormat="1" ht="24.75" customHeight="1" thickTop="1" thickBot="1" x14ac:dyDescent="0.3">
      <c r="A88" s="121">
        <v>54</v>
      </c>
      <c r="B88" s="60" t="s">
        <v>44</v>
      </c>
      <c r="C88" s="61">
        <f>C79+C87</f>
        <v>6178428</v>
      </c>
      <c r="D88" s="61">
        <f>D79+D87</f>
        <v>25188381</v>
      </c>
      <c r="E88" s="65">
        <f>E79+E87</f>
        <v>24519761.629999999</v>
      </c>
      <c r="F88" s="62">
        <f>E88/D88*100</f>
        <v>97.34552462899461</v>
      </c>
      <c r="G88" s="65">
        <f>G79+G87</f>
        <v>24484250.8671</v>
      </c>
      <c r="H88" s="62">
        <f>G88/E88*100</f>
        <v>99.855174926103075</v>
      </c>
    </row>
    <row r="89" spans="1:10" s="53" customFormat="1" ht="13.5" customHeight="1" thickTop="1" x14ac:dyDescent="0.2">
      <c r="B89" s="206"/>
      <c r="C89" s="98"/>
      <c r="D89" s="98"/>
      <c r="E89" s="98"/>
      <c r="F89" s="109"/>
      <c r="G89" s="98"/>
      <c r="H89" s="98"/>
    </row>
    <row r="90" spans="1:10" s="53" customFormat="1" ht="13.5" customHeight="1" thickBot="1" x14ac:dyDescent="0.25">
      <c r="B90" s="206"/>
      <c r="C90" s="98"/>
      <c r="D90" s="98"/>
      <c r="E90" s="98"/>
      <c r="F90" s="207"/>
      <c r="G90" s="98"/>
      <c r="H90" s="207"/>
    </row>
    <row r="91" spans="1:10" s="12" customFormat="1" ht="17.100000000000001" customHeight="1" thickBot="1" x14ac:dyDescent="0.25">
      <c r="A91" s="142">
        <v>55</v>
      </c>
      <c r="B91" s="143" t="s">
        <v>6</v>
      </c>
      <c r="C91" s="144">
        <f>SUM(C34)</f>
        <v>6094611</v>
      </c>
      <c r="D91" s="144">
        <f>SUM(D34)</f>
        <v>23512338</v>
      </c>
      <c r="E91" s="144">
        <f>SUM(E34)</f>
        <v>23732812.699999999</v>
      </c>
      <c r="F91" s="145">
        <f>E91/D91*100</f>
        <v>100.93769790141668</v>
      </c>
      <c r="G91" s="144">
        <f>SUM(G34)</f>
        <v>23970742.699999999</v>
      </c>
      <c r="H91" s="146">
        <f>G91/E91*100</f>
        <v>101.0025360373741</v>
      </c>
    </row>
    <row r="92" spans="1:10" s="12" customFormat="1" ht="17.100000000000001" hidden="1" customHeight="1" thickTop="1" thickBot="1" x14ac:dyDescent="0.25">
      <c r="A92" s="147">
        <v>24</v>
      </c>
      <c r="B92" s="23" t="s">
        <v>5</v>
      </c>
      <c r="C92" s="99"/>
      <c r="D92" s="99"/>
      <c r="E92" s="17">
        <f>E25-E79</f>
        <v>-786948.9299999997</v>
      </c>
      <c r="F92" s="18" t="e">
        <f>E92/#REF!*100</f>
        <v>#REF!</v>
      </c>
      <c r="G92" s="17">
        <f>G25-G79</f>
        <v>-513508.16710000113</v>
      </c>
      <c r="H92" s="148">
        <f t="shared" ref="H92" si="15">G92/E92*100</f>
        <v>65.253048517392514</v>
      </c>
    </row>
    <row r="93" spans="1:10" s="12" customFormat="1" ht="17.100000000000001" customHeight="1" thickTop="1" thickBot="1" x14ac:dyDescent="0.25">
      <c r="A93" s="149">
        <v>56</v>
      </c>
      <c r="B93" s="126" t="s">
        <v>4</v>
      </c>
      <c r="C93" s="127">
        <f>C88</f>
        <v>6178428</v>
      </c>
      <c r="D93" s="127">
        <f>D88</f>
        <v>25188381</v>
      </c>
      <c r="E93" s="127">
        <f>E88</f>
        <v>24519761.629999999</v>
      </c>
      <c r="F93" s="128">
        <f>E93/D93*100</f>
        <v>97.34552462899461</v>
      </c>
      <c r="G93" s="127">
        <f>SUM(G88)</f>
        <v>24484250.8671</v>
      </c>
      <c r="H93" s="150">
        <f>G93/E93*100</f>
        <v>99.855174926103075</v>
      </c>
      <c r="I93" s="52"/>
    </row>
    <row r="94" spans="1:10" s="12" customFormat="1" ht="16.5" customHeight="1" thickBot="1" x14ac:dyDescent="0.25">
      <c r="A94" s="151">
        <v>57</v>
      </c>
      <c r="B94" s="129" t="s">
        <v>7</v>
      </c>
      <c r="C94" s="130">
        <f>SUM(C95,C97,C99)</f>
        <v>169252</v>
      </c>
      <c r="D94" s="130">
        <f>D95+D97+D99+D96</f>
        <v>1676043</v>
      </c>
      <c r="E94" s="130">
        <f>E95+E97+E99</f>
        <v>786949</v>
      </c>
      <c r="F94" s="131">
        <f>-E94/D94*100</f>
        <v>-46.95279297726848</v>
      </c>
      <c r="G94" s="132">
        <f>SUM(G95,G97,G99)</f>
        <v>513508</v>
      </c>
      <c r="H94" s="152">
        <f>G94/E94*100</f>
        <v>65.253021479155564</v>
      </c>
    </row>
    <row r="95" spans="1:10" s="42" customFormat="1" ht="38.25" customHeight="1" thickTop="1" x14ac:dyDescent="0.25">
      <c r="A95" s="153">
        <v>58</v>
      </c>
      <c r="B95" s="44" t="s">
        <v>27</v>
      </c>
      <c r="C95" s="100">
        <v>440593</v>
      </c>
      <c r="D95" s="100">
        <v>1900000</v>
      </c>
      <c r="E95" s="45">
        <v>1000000</v>
      </c>
      <c r="F95" s="48">
        <f t="shared" ref="F95:F105" si="16">E95/D95*100</f>
        <v>52.631578947368418</v>
      </c>
      <c r="G95" s="45">
        <v>700000</v>
      </c>
      <c r="H95" s="154">
        <f t="shared" ref="H95:H98" si="17">G95/E95*100</f>
        <v>70</v>
      </c>
    </row>
    <row r="96" spans="1:10" s="42" customFormat="1" ht="38.25" customHeight="1" x14ac:dyDescent="0.25">
      <c r="A96" s="168">
        <v>59</v>
      </c>
      <c r="B96" s="44" t="s">
        <v>86</v>
      </c>
      <c r="C96" s="100"/>
      <c r="D96" s="100">
        <v>10000</v>
      </c>
      <c r="E96" s="45">
        <v>0</v>
      </c>
      <c r="F96" s="48">
        <f t="shared" si="16"/>
        <v>0</v>
      </c>
      <c r="G96" s="45">
        <v>0</v>
      </c>
      <c r="H96" s="154">
        <v>0</v>
      </c>
    </row>
    <row r="97" spans="1:15" s="49" customFormat="1" ht="18" customHeight="1" x14ac:dyDescent="0.25">
      <c r="A97" s="155">
        <v>60</v>
      </c>
      <c r="B97" s="46" t="s">
        <v>75</v>
      </c>
      <c r="C97" s="101">
        <f>SUM(C98:C98)</f>
        <v>0</v>
      </c>
      <c r="D97" s="101">
        <v>0</v>
      </c>
      <c r="E97" s="47">
        <f>SUM(E98:E98)</f>
        <v>0</v>
      </c>
      <c r="F97" s="48">
        <v>0</v>
      </c>
      <c r="G97" s="47">
        <f>SUM(G98:G98)</f>
        <v>0</v>
      </c>
      <c r="H97" s="154">
        <v>0</v>
      </c>
    </row>
    <row r="98" spans="1:15" s="7" customFormat="1" ht="18" hidden="1" customHeight="1" x14ac:dyDescent="0.25">
      <c r="A98" s="156">
        <v>59</v>
      </c>
      <c r="B98" s="24" t="s">
        <v>52</v>
      </c>
      <c r="C98" s="72"/>
      <c r="D98" s="72">
        <v>0</v>
      </c>
      <c r="E98" s="73">
        <v>0</v>
      </c>
      <c r="F98" s="136">
        <v>0</v>
      </c>
      <c r="G98" s="73">
        <v>0</v>
      </c>
      <c r="H98" s="154" t="e">
        <f t="shared" si="17"/>
        <v>#DIV/0!</v>
      </c>
    </row>
    <row r="99" spans="1:15" s="49" customFormat="1" ht="18" customHeight="1" x14ac:dyDescent="0.25">
      <c r="A99" s="157">
        <v>61</v>
      </c>
      <c r="B99" s="50" t="s">
        <v>74</v>
      </c>
      <c r="C99" s="74">
        <f>SUM(C100:C103)</f>
        <v>-271341</v>
      </c>
      <c r="D99" s="74">
        <f>SUM(D100:D105)</f>
        <v>-233957</v>
      </c>
      <c r="E99" s="74">
        <f>SUM(E100:E105)</f>
        <v>-213051</v>
      </c>
      <c r="F99" s="48">
        <f t="shared" si="16"/>
        <v>91.064169911564946</v>
      </c>
      <c r="G99" s="51">
        <f>SUM(G100:G105)</f>
        <v>-186492</v>
      </c>
      <c r="H99" s="154">
        <f t="shared" ref="H99:H105" si="18">G99/E99*100</f>
        <v>87.533970739400431</v>
      </c>
    </row>
    <row r="100" spans="1:15" ht="18" customHeight="1" x14ac:dyDescent="0.2">
      <c r="A100" s="158">
        <v>62</v>
      </c>
      <c r="B100" s="24" t="s">
        <v>45</v>
      </c>
      <c r="C100" s="72">
        <v>-43634</v>
      </c>
      <c r="D100" s="72">
        <v>-43634</v>
      </c>
      <c r="E100" s="73">
        <v>-43634</v>
      </c>
      <c r="F100" s="9">
        <f t="shared" si="16"/>
        <v>100</v>
      </c>
      <c r="G100" s="73">
        <v>-43634</v>
      </c>
      <c r="H100" s="159">
        <f t="shared" si="18"/>
        <v>100</v>
      </c>
    </row>
    <row r="101" spans="1:15" ht="18" customHeight="1" x14ac:dyDescent="0.2">
      <c r="A101" s="156">
        <v>63</v>
      </c>
      <c r="B101" s="27" t="s">
        <v>76</v>
      </c>
      <c r="C101" s="71">
        <v>-142858</v>
      </c>
      <c r="D101" s="71">
        <v>-142858</v>
      </c>
      <c r="E101" s="16">
        <v>-142858</v>
      </c>
      <c r="F101" s="9">
        <f t="shared" si="16"/>
        <v>100</v>
      </c>
      <c r="G101" s="16">
        <v>-142858</v>
      </c>
      <c r="H101" s="159">
        <f t="shared" si="18"/>
        <v>100</v>
      </c>
    </row>
    <row r="102" spans="1:15" ht="18" hidden="1" customHeight="1" x14ac:dyDescent="0.2">
      <c r="A102" s="158">
        <v>62</v>
      </c>
      <c r="B102" s="27" t="s">
        <v>36</v>
      </c>
      <c r="C102" s="71">
        <v>-66667</v>
      </c>
      <c r="D102" s="71">
        <v>0</v>
      </c>
      <c r="E102" s="16"/>
      <c r="F102" s="9"/>
      <c r="G102" s="16"/>
      <c r="H102" s="159">
        <v>0</v>
      </c>
    </row>
    <row r="103" spans="1:15" ht="17.25" customHeight="1" x14ac:dyDescent="0.2">
      <c r="A103" s="156">
        <v>64</v>
      </c>
      <c r="B103" s="27" t="s">
        <v>51</v>
      </c>
      <c r="C103" s="71">
        <v>-18182</v>
      </c>
      <c r="D103" s="71">
        <v>-9090</v>
      </c>
      <c r="E103" s="16">
        <v>0</v>
      </c>
      <c r="F103" s="9">
        <f t="shared" si="16"/>
        <v>0</v>
      </c>
      <c r="G103" s="16">
        <v>0</v>
      </c>
      <c r="H103" s="159">
        <v>0</v>
      </c>
    </row>
    <row r="104" spans="1:15" ht="15" hidden="1" thickBot="1" x14ac:dyDescent="0.25">
      <c r="A104" s="138">
        <v>63</v>
      </c>
      <c r="B104" s="83"/>
      <c r="C104" s="79"/>
      <c r="D104" s="79"/>
      <c r="E104" s="80"/>
      <c r="F104" s="9" t="e">
        <f t="shared" si="16"/>
        <v>#DIV/0!</v>
      </c>
      <c r="G104" s="80"/>
      <c r="H104" s="159" t="e">
        <f t="shared" si="18"/>
        <v>#DIV/0!</v>
      </c>
    </row>
    <row r="105" spans="1:15" ht="17.25" customHeight="1" thickBot="1" x14ac:dyDescent="0.25">
      <c r="A105" s="160">
        <v>65</v>
      </c>
      <c r="B105" s="161" t="s">
        <v>60</v>
      </c>
      <c r="C105" s="162">
        <v>-18182</v>
      </c>
      <c r="D105" s="162">
        <v>-38375</v>
      </c>
      <c r="E105" s="163">
        <v>-26559</v>
      </c>
      <c r="F105" s="164">
        <f t="shared" si="16"/>
        <v>69.209120521172636</v>
      </c>
      <c r="G105" s="163">
        <v>0</v>
      </c>
      <c r="H105" s="165">
        <f t="shared" si="18"/>
        <v>0</v>
      </c>
    </row>
    <row r="106" spans="1:15" x14ac:dyDescent="0.2">
      <c r="A106" s="208"/>
      <c r="B106" s="208"/>
      <c r="C106" s="78" t="e">
        <f>C91+C95+C97+#REF!</f>
        <v>#REF!</v>
      </c>
      <c r="D106" s="78">
        <f>D91+D95+D97+D96</f>
        <v>25422338</v>
      </c>
      <c r="E106" s="78">
        <f>E91+E95+E97</f>
        <v>24732812.699999999</v>
      </c>
      <c r="F106" s="78"/>
      <c r="G106" s="78">
        <f>G91+G95+G97</f>
        <v>24670742.699999999</v>
      </c>
      <c r="H106" s="78"/>
      <c r="I106" s="3"/>
      <c r="J106" s="3"/>
      <c r="K106" s="3"/>
      <c r="L106" s="3"/>
      <c r="M106" s="3"/>
      <c r="N106" s="3"/>
      <c r="O106" s="3"/>
    </row>
    <row r="107" spans="1:15" x14ac:dyDescent="0.2">
      <c r="A107" s="209"/>
      <c r="B107" s="209"/>
      <c r="C107" s="78">
        <f>C93-C99</f>
        <v>6449769</v>
      </c>
      <c r="D107" s="78">
        <f>D93-D99</f>
        <v>25422338</v>
      </c>
      <c r="E107" s="78">
        <f>E93-E99</f>
        <v>24732812.629999999</v>
      </c>
      <c r="F107" s="78"/>
      <c r="G107" s="78">
        <f>G93-G99</f>
        <v>24670742.8671</v>
      </c>
      <c r="H107" s="78"/>
      <c r="I107" s="3"/>
      <c r="J107" s="3"/>
      <c r="K107" s="3"/>
      <c r="L107" s="3"/>
      <c r="M107" s="3"/>
      <c r="N107" s="3"/>
      <c r="O107" s="3"/>
    </row>
    <row r="108" spans="1:15" x14ac:dyDescent="0.2">
      <c r="A108" s="210"/>
      <c r="B108" s="210"/>
      <c r="C108" s="175"/>
      <c r="D108" s="175"/>
      <c r="E108" s="175"/>
      <c r="F108" s="175"/>
      <c r="G108" s="78"/>
      <c r="H108" s="211"/>
      <c r="I108" s="3"/>
      <c r="J108" s="3"/>
      <c r="K108" s="3"/>
      <c r="L108" s="3"/>
      <c r="M108" s="3"/>
      <c r="N108" s="3"/>
      <c r="O108" s="3"/>
    </row>
    <row r="109" spans="1:15" x14ac:dyDescent="0.2">
      <c r="C109" s="78" t="e">
        <f>C106-C107</f>
        <v>#REF!</v>
      </c>
      <c r="D109" s="78">
        <f>D106-D107</f>
        <v>0</v>
      </c>
      <c r="E109" s="78">
        <f>E106-E107</f>
        <v>7.0000000298023224E-2</v>
      </c>
      <c r="F109" s="78"/>
      <c r="G109" s="175">
        <f>G106-G107</f>
        <v>-0.16710000112652779</v>
      </c>
      <c r="H109" s="211"/>
      <c r="I109" s="3"/>
      <c r="J109" s="3"/>
      <c r="K109" s="3"/>
      <c r="L109" s="3"/>
      <c r="M109" s="3"/>
      <c r="N109" s="3"/>
      <c r="O109" s="3"/>
    </row>
    <row r="110" spans="1:15" x14ac:dyDescent="0.2">
      <c r="C110" s="78"/>
      <c r="D110" s="78"/>
      <c r="E110" s="78"/>
      <c r="F110" s="78"/>
      <c r="G110" s="175"/>
      <c r="H110" s="211"/>
      <c r="I110" s="3"/>
      <c r="J110" s="3"/>
      <c r="K110" s="3"/>
      <c r="L110" s="3"/>
      <c r="M110" s="3"/>
      <c r="N110" s="3"/>
      <c r="O110" s="3"/>
    </row>
    <row r="111" spans="1:15" x14ac:dyDescent="0.2">
      <c r="C111" s="78"/>
      <c r="D111" s="78"/>
      <c r="E111" s="78"/>
      <c r="F111" s="78"/>
      <c r="G111" s="175"/>
      <c r="H111" s="211"/>
      <c r="I111" s="3"/>
      <c r="J111" s="3"/>
      <c r="K111" s="3"/>
      <c r="L111" s="3"/>
      <c r="M111" s="3"/>
      <c r="N111" s="3"/>
      <c r="O111" s="3"/>
    </row>
    <row r="112" spans="1:15" x14ac:dyDescent="0.2">
      <c r="C112" s="175">
        <f>C93-C91</f>
        <v>83817</v>
      </c>
      <c r="D112" s="175">
        <f>D93-D91</f>
        <v>1676043</v>
      </c>
      <c r="E112" s="175">
        <f>E93-E91</f>
        <v>786948.9299999997</v>
      </c>
      <c r="F112" s="175"/>
      <c r="G112" s="175">
        <f>G93-G91</f>
        <v>513508.16710000113</v>
      </c>
      <c r="H112" s="175"/>
      <c r="I112" s="3"/>
      <c r="J112" s="3"/>
      <c r="K112" s="3"/>
      <c r="L112" s="3"/>
      <c r="M112" s="3"/>
      <c r="N112" s="3"/>
      <c r="O112" s="3"/>
    </row>
    <row r="113" spans="3:15" x14ac:dyDescent="0.2">
      <c r="C113" s="78" t="e">
        <f>C95+C97+#REF!+C99</f>
        <v>#REF!</v>
      </c>
      <c r="D113" s="78">
        <f>D95+D97+D99+D96</f>
        <v>1676043</v>
      </c>
      <c r="E113" s="78">
        <f>E95+E97+E99</f>
        <v>786949</v>
      </c>
      <c r="F113" s="78"/>
      <c r="G113" s="78">
        <f>G95+G97+G99</f>
        <v>513508</v>
      </c>
      <c r="H113" s="211"/>
      <c r="I113" s="3"/>
      <c r="J113" s="3"/>
      <c r="K113" s="3"/>
      <c r="L113" s="3"/>
      <c r="M113" s="3"/>
      <c r="N113" s="3"/>
      <c r="O113" s="3"/>
    </row>
    <row r="114" spans="3:15" x14ac:dyDescent="0.2">
      <c r="C114" s="78"/>
      <c r="D114" s="78"/>
      <c r="E114" s="78"/>
      <c r="F114" s="78"/>
      <c r="G114" s="78"/>
      <c r="H114" s="211"/>
      <c r="I114" s="3"/>
      <c r="J114" s="3"/>
      <c r="K114" s="3"/>
      <c r="L114" s="3"/>
      <c r="M114" s="3"/>
      <c r="N114" s="3"/>
      <c r="O114" s="3"/>
    </row>
    <row r="115" spans="3:15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3:15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3:15" x14ac:dyDescent="0.2">
      <c r="C117" s="78"/>
      <c r="D117" s="78"/>
      <c r="E117" s="78"/>
      <c r="F117" s="211"/>
      <c r="G117" s="78"/>
      <c r="H117" s="211"/>
      <c r="I117" s="3"/>
      <c r="J117" s="3"/>
      <c r="K117" s="3"/>
      <c r="L117" s="3"/>
      <c r="M117" s="3"/>
      <c r="N117" s="3"/>
      <c r="O117" s="3"/>
    </row>
    <row r="118" spans="3:15" x14ac:dyDescent="0.2">
      <c r="C118" s="78"/>
      <c r="D118" s="78"/>
      <c r="E118" s="78"/>
      <c r="F118" s="211"/>
      <c r="G118" s="78"/>
      <c r="H118" s="211"/>
      <c r="I118" s="3"/>
      <c r="J118" s="3"/>
      <c r="K118" s="3"/>
      <c r="L118" s="3"/>
      <c r="M118" s="3"/>
      <c r="N118" s="3"/>
      <c r="O118" s="3"/>
    </row>
  </sheetData>
  <mergeCells count="23">
    <mergeCell ref="F3:F5"/>
    <mergeCell ref="E37:E39"/>
    <mergeCell ref="F37:F39"/>
    <mergeCell ref="G37:G39"/>
    <mergeCell ref="E62:E78"/>
    <mergeCell ref="F62:F78"/>
    <mergeCell ref="G62:G78"/>
    <mergeCell ref="H62:H78"/>
    <mergeCell ref="H37:H39"/>
    <mergeCell ref="A106:B106"/>
    <mergeCell ref="B2:B5"/>
    <mergeCell ref="A2:A5"/>
    <mergeCell ref="A36:A39"/>
    <mergeCell ref="B36:B39"/>
    <mergeCell ref="D2:D5"/>
    <mergeCell ref="D36:D39"/>
    <mergeCell ref="E2:H2"/>
    <mergeCell ref="E36:H36"/>
    <mergeCell ref="C2:C5"/>
    <mergeCell ref="C36:C39"/>
    <mergeCell ref="G3:G5"/>
    <mergeCell ref="H3:H5"/>
    <mergeCell ref="E3:E5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2" firstPageNumber="6" orientation="portrait" useFirstPageNumber="1" r:id="rId1"/>
  <headerFooter alignWithMargins="0">
    <oddFooter>&amp;L&amp;"Arial,Kurzíva"Zastupitelstvo Olomouckého kraje 16. 12. 2024
11. - Střednědobý výhled rozpočtu Olomouckého kraje 2026 - 2027
Příloha č. 1: Střednědobý výhled rozpočtu OK na období 2026 - 2027&amp;R&amp;"Arial,Kurzíva"Strana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2024-11-26T07:53:34Z</cp:lastPrinted>
  <dcterms:created xsi:type="dcterms:W3CDTF">2007-01-30T08:08:06Z</dcterms:created>
  <dcterms:modified xsi:type="dcterms:W3CDTF">2024-11-26T07:53:37Z</dcterms:modified>
</cp:coreProperties>
</file>