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D1DCBBB4-6B9A-4F41-B8F2-F94BED9D8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čekávané plnění k 31.12.2024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31.12.2024'!$A$1:$D$136</definedName>
    <definedName name="_xlnm.Print_Area" localSheetId="4">'Rekapitulace (2)'!$A$1:$H$66</definedName>
    <definedName name="_xlnm.Print_Area" localSheetId="1">'Výdaje (2)'!$A$1:$F$53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" l="1"/>
  <c r="D128" i="1"/>
  <c r="D129" i="1"/>
  <c r="D130" i="1"/>
  <c r="C127" i="1"/>
  <c r="C131" i="1"/>
  <c r="C10" i="1"/>
  <c r="C118" i="1"/>
  <c r="C38" i="1"/>
  <c r="C12" i="1"/>
  <c r="C8" i="1" l="1"/>
  <c r="C7" i="1"/>
  <c r="B117" i="1" l="1"/>
  <c r="D102" i="1"/>
  <c r="D111" i="1" l="1"/>
  <c r="D64" i="1"/>
  <c r="D68" i="1"/>
  <c r="D92" i="1"/>
  <c r="D91" i="1" l="1"/>
  <c r="D84" i="1"/>
  <c r="D63" i="1"/>
  <c r="D54" i="1"/>
  <c r="F17" i="1" l="1"/>
  <c r="D71" i="1"/>
  <c r="C58" i="1"/>
  <c r="D28" i="1" l="1"/>
  <c r="C110" i="1" l="1"/>
  <c r="B110" i="1"/>
  <c r="B52" i="1"/>
  <c r="B35" i="1"/>
  <c r="D25" i="1"/>
  <c r="C22" i="1"/>
  <c r="B22" i="1"/>
  <c r="D110" i="1" l="1"/>
  <c r="D22" i="1"/>
  <c r="D23" i="1"/>
  <c r="C134" i="1" l="1"/>
  <c r="D83" i="1" l="1"/>
  <c r="C78" i="1"/>
  <c r="B78" i="1"/>
  <c r="B77" i="1" s="1"/>
  <c r="C82" i="1"/>
  <c r="B82" i="1"/>
  <c r="C62" i="1"/>
  <c r="C57" i="1" s="1"/>
  <c r="B62" i="1"/>
  <c r="D62" i="1" l="1"/>
  <c r="D82" i="1"/>
  <c r="C77" i="1"/>
  <c r="D77" i="1" s="1"/>
  <c r="D78" i="1"/>
  <c r="D132" i="1"/>
  <c r="D131" i="1"/>
  <c r="D116" i="1"/>
  <c r="D114" i="1"/>
  <c r="D108" i="1"/>
  <c r="D107" i="1"/>
  <c r="D105" i="1"/>
  <c r="D103" i="1"/>
  <c r="D101" i="1"/>
  <c r="D98" i="1"/>
  <c r="D97" i="1"/>
  <c r="D89" i="1"/>
  <c r="D87" i="1"/>
  <c r="D81" i="1"/>
  <c r="D79" i="1"/>
  <c r="D72" i="1"/>
  <c r="D69" i="1"/>
  <c r="D67" i="1"/>
  <c r="D61" i="1"/>
  <c r="D59" i="1"/>
  <c r="D53" i="1"/>
  <c r="D51" i="1"/>
  <c r="D50" i="1"/>
  <c r="D46" i="1"/>
  <c r="D44" i="1"/>
  <c r="D42" i="1"/>
  <c r="D40" i="1"/>
  <c r="D37" i="1"/>
  <c r="D36" i="1"/>
  <c r="D34" i="1"/>
  <c r="D33" i="1"/>
  <c r="D31" i="1"/>
  <c r="D30" i="1"/>
  <c r="D21" i="1"/>
  <c r="D19" i="1"/>
  <c r="D12" i="1"/>
  <c r="D10" i="1"/>
  <c r="D9" i="1"/>
  <c r="D8" i="1"/>
  <c r="D7" i="1"/>
  <c r="B134" i="1"/>
  <c r="B11" i="1" l="1"/>
  <c r="D134" i="1" l="1"/>
  <c r="C52" i="1" l="1"/>
  <c r="C11" i="1"/>
  <c r="B118" i="1"/>
  <c r="B49" i="1"/>
  <c r="D27" i="1"/>
  <c r="D11" i="1" l="1"/>
  <c r="C13" i="1"/>
  <c r="C106" i="1"/>
  <c r="C90" i="1"/>
  <c r="B90" i="1"/>
  <c r="C138" i="1" l="1"/>
  <c r="D90" i="1"/>
  <c r="C104" i="1"/>
  <c r="B104" i="1"/>
  <c r="D104" i="1" s="1"/>
  <c r="C43" i="1"/>
  <c r="B43" i="1"/>
  <c r="D43" i="1" l="1"/>
  <c r="C96" i="1"/>
  <c r="B96" i="1"/>
  <c r="D96" i="1" s="1"/>
  <c r="C100" i="1"/>
  <c r="B100" i="1"/>
  <c r="C112" i="1"/>
  <c r="B112" i="1"/>
  <c r="B106" i="1"/>
  <c r="D106" i="1" s="1"/>
  <c r="D100" i="1" l="1"/>
  <c r="D112" i="1"/>
  <c r="C32" i="1"/>
  <c r="B32" i="1"/>
  <c r="C29" i="1"/>
  <c r="B29" i="1"/>
  <c r="C115" i="1"/>
  <c r="B115" i="1"/>
  <c r="C86" i="1"/>
  <c r="B86" i="1"/>
  <c r="C70" i="1"/>
  <c r="B70" i="1"/>
  <c r="C66" i="1"/>
  <c r="B66" i="1"/>
  <c r="B58" i="1"/>
  <c r="D58" i="1" s="1"/>
  <c r="C49" i="1"/>
  <c r="D49" i="1" s="1"/>
  <c r="D52" i="1"/>
  <c r="C55" i="1"/>
  <c r="B55" i="1"/>
  <c r="B39" i="1"/>
  <c r="C26" i="1"/>
  <c r="B26" i="1"/>
  <c r="B18" i="1"/>
  <c r="D115" i="1" l="1"/>
  <c r="D70" i="1"/>
  <c r="D32" i="1"/>
  <c r="D66" i="1"/>
  <c r="B85" i="1"/>
  <c r="D86" i="1"/>
  <c r="D29" i="1"/>
  <c r="D26" i="1"/>
  <c r="C65" i="1"/>
  <c r="C18" i="1"/>
  <c r="D18" i="1" s="1"/>
  <c r="C39" i="1"/>
  <c r="D39" i="1" s="1"/>
  <c r="C48" i="1"/>
  <c r="C85" i="1"/>
  <c r="B65" i="1"/>
  <c r="B57" i="1"/>
  <c r="B48" i="1"/>
  <c r="D57" i="1" l="1"/>
  <c r="D65" i="1"/>
  <c r="D85" i="1"/>
  <c r="D48" i="1"/>
  <c r="C94" i="1"/>
  <c r="B94" i="1"/>
  <c r="D41" i="1" l="1"/>
  <c r="B119" i="1" l="1"/>
  <c r="B139" i="1" s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B138" i="1" s="1"/>
  <c r="D13" i="1" l="1"/>
  <c r="B140" i="1"/>
  <c r="G7" i="8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  <c r="C35" i="1"/>
  <c r="C117" i="1" s="1"/>
  <c r="D118" i="1"/>
  <c r="D35" i="1" l="1"/>
  <c r="D117" i="1"/>
  <c r="C119" i="1" l="1"/>
  <c r="C139" i="1" l="1"/>
  <c r="C140" i="1" s="1"/>
  <c r="F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Balabuch Petr</author>
    <author>Ing. Alice Hradilová</author>
    <author>Hradilová Alice</author>
  </authors>
  <commentList>
    <comment ref="C1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 xr:uid="{00000000-0006-0000-0100-000003000000}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 xr:uid="{00000000-0006-0000-0100-000004000000}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 xr:uid="{00000000-0006-0000-0100-000005000000}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 xr:uid="{00000000-0006-0000-0100-000006000000}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Alice Hradilová</author>
  </authors>
  <commentList>
    <comment ref="J7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<sst xmlns="http://schemas.openxmlformats.org/spreadsheetml/2006/main" count="239" uniqueCount="130">
  <si>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</si>
  <si>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</si>
  <si>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</si>
  <si>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</si>
  <si>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</si>
  <si>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</si>
  <si>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</si>
  <si>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</si>
  <si>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</si>
  <si>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</si>
  <si>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</si>
  <si>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</si>
  <si>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</si>
  <si>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</si>
  <si>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</si>
  <si>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</si>
  <si>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</si>
  <si>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</si>
  <si>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</si>
  <si>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</si>
  <si>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</si>
  <si>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</si>
  <si>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</si>
  <si>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</si>
  <si>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</si>
  <si>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</si>
  <si>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</si>
  <si>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</si>
  <si>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</si>
  <si>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</si>
  <si>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</si>
  <si>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</si>
  <si>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</si>
  <si>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</si>
  <si>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</si>
  <si>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</si>
  <si>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</si>
  <si>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</si>
  <si>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</si>
  <si>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</si>
  <si>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</si>
  <si>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</si>
  <si>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</si>
  <si>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</si>
  <si>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</si>
  <si>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</si>
  <si>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</si>
  <si>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</si>
  <si>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</si>
  <si>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</si>
  <si>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</si>
  <si>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</si>
  <si>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</si>
  <si>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</si>
  <si>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</si>
  <si>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</si>
  <si>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</si>
  <si>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</si>
  <si>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</si>
  <si>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</si>
  <si>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</si>
  <si>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</si>
  <si>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</si>
  <si>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</si>
  <si>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</si>
  <si>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</si>
  <si>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</si>
  <si>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</si>
  <si>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</si>
  <si>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</si>
  <si>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</si>
  <si>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</si>
  <si>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</si>
  <si>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</si>
  <si>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</si>
  <si>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</si>
  <si>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</si>
  <si>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</si>
  <si>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</si>
  <si>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</si>
  <si>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</si>
  <si>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</si>
  <si>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</si>
  <si>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</si>
  <si>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</si>
  <si>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</si>
  <si>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kontroly - ORJ 20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</si>
  <si>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</si>
  <si>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</si>
  <si>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</si>
  <si>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</si>
  <si>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</si>
  <si>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</si>
  <si>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</si>
  <si>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</si>
  <si>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</si>
  <si>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</si>
  <si>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</si>
  <si>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</si>
  <si>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</si>
  <si>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</si>
  <si>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</si>
  <si>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</si>
  <si>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</si>
  <si>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</si>
  <si>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</si>
  <si>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</si>
  <si>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</si>
  <si>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</si>
  <si>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</si>
  <si>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</si>
  <si>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</si>
  <si>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</si>
  <si>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</si>
  <si>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</si>
  <si>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</si>
  <si>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</si>
  <si>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</si>
  <si>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</si>
  <si>
    <t>Evropské programy - ORJ 30 - 79</t>
  </si>
  <si>
    <t xml:space="preserve">8118 - Aktivní krátkodobé operace řízení likvidity - výdaje </t>
  </si>
  <si>
    <t xml:space="preserve">Příjmy včetně financování </t>
  </si>
  <si>
    <t xml:space="preserve">Výdaje včetně financování </t>
  </si>
  <si>
    <t>Rozdíl</t>
  </si>
  <si>
    <t>Personální útvar - ORJ 02</t>
  </si>
  <si>
    <t xml:space="preserve">Nouzové ubytování - ORJ 98   </t>
  </si>
  <si>
    <t>6. Očekávané plnění rozpočtu Olomouckého kraje k 31. 12. 2024</t>
  </si>
  <si>
    <t>Schválený rozpočet                           2024</t>
  </si>
  <si>
    <t>Očekávané plnění                                                k 31. 12. 2024</t>
  </si>
  <si>
    <t>Odbor Krajský stavební úřad - ORJ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</si>
</sst>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19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0" fontId="20" fillId="0" borderId="14" xfId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64" fillId="0" borderId="0" xfId="0" applyFont="1" applyFill="1" applyAlignment="1">
      <alignment wrapText="1"/>
    </xf>
    <xf numFmtId="0" fontId="30" fillId="0" borderId="34" xfId="1" applyFont="1" applyFill="1" applyBorder="1" applyAlignment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20" fillId="0" borderId="15" xfId="1" applyNumberFormat="1" applyFont="1" applyFill="1" applyBorder="1"/>
    <xf numFmtId="3" fontId="13" fillId="0" borderId="52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0" fillId="0" borderId="6" xfId="1" applyNumberFormat="1" applyFont="1" applyFill="1" applyBorder="1"/>
    <xf numFmtId="3" fontId="13" fillId="0" borderId="20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3" xfId="0" applyFont="1" applyFill="1" applyBorder="1" applyAlignment="1">
      <alignment horizontal="right"/>
    </xf>
    <xf numFmtId="3" fontId="13" fillId="0" borderId="20" xfId="0" applyFont="1" applyFill="1" applyBorder="1" applyAlignment="1">
      <alignment horizontal="right" vertical="top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53" xfId="1" applyNumberFormat="1" applyFont="1" applyFill="1" applyBorder="1"/>
    <xf numFmtId="3" fontId="60" fillId="0" borderId="0" xfId="0" applyFont="1" applyFill="1" applyBorder="1"/>
    <xf numFmtId="164" fontId="60" fillId="0" borderId="0" xfId="0" applyNumberFormat="1" applyFont="1" applyFill="1" applyBorder="1"/>
    <xf numFmtId="0" fontId="16" fillId="0" borderId="16" xfId="1" applyFont="1" applyFill="1" applyBorder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 xr:uid="{00000000-0005-0000-0000-000001000000}"/>
    <cellStyle name="normální_Kopie - 8. - Závěrečný účet 2009 - Příloha č. 3 (výdaje)" xfId="1" xr:uid="{00000000-0005-0000-0000-000002000000}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M140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9.140625" defaultRowHeight="12.75" x14ac:dyDescent="0.2"/>
  <cols>
    <col min="1" max="1" width="81.42578125" style="1" customWidth="1"/>
    <col min="2" max="2" width="18.28515625" style="1" customWidth="1"/>
    <col min="3" max="3" width="17.5703125" style="163" customWidth="1"/>
    <col min="4" max="4" width="11.28515625" style="1" customWidth="1"/>
    <col min="5" max="5" width="10.85546875" style="1" customWidth="1"/>
    <col min="6" max="6" width="11.85546875" style="1" bestFit="1" customWidth="1"/>
    <col min="7" max="16384" width="9.140625" style="1"/>
  </cols>
  <sheetData>
    <row r="1" spans="1:12" ht="20.25" x14ac:dyDescent="0.3">
      <c r="A1" s="309" t="s">
        <v>126</v>
      </c>
      <c r="B1" s="309"/>
      <c r="C1" s="309"/>
      <c r="D1" s="309"/>
    </row>
    <row r="4" spans="1:12" ht="24.75" customHeight="1" thickBot="1" x14ac:dyDescent="0.3">
      <c r="A4" s="273" t="s">
        <v>90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63" t="s">
        <v>1</v>
      </c>
      <c r="B5" s="262" t="s">
        <v>127</v>
      </c>
      <c r="C5" s="262" t="s">
        <v>128</v>
      </c>
      <c r="D5" s="256" t="s">
        <v>5</v>
      </c>
    </row>
    <row r="6" spans="1:12" s="4" customFormat="1" thickTop="1" thickBot="1" x14ac:dyDescent="0.25">
      <c r="A6" s="269">
        <v>1</v>
      </c>
      <c r="B6" s="255">
        <v>2</v>
      </c>
      <c r="C6" s="255">
        <v>3</v>
      </c>
      <c r="D6" s="257" t="s">
        <v>89</v>
      </c>
    </row>
    <row r="7" spans="1:12" ht="18.95" customHeight="1" thickTop="1" x14ac:dyDescent="0.2">
      <c r="A7" s="264" t="s">
        <v>93</v>
      </c>
      <c r="B7" s="227">
        <v>7135330</v>
      </c>
      <c r="C7" s="218">
        <f>7175908+300000</f>
        <v>7475908</v>
      </c>
      <c r="D7" s="74">
        <f t="shared" ref="D7:D13" si="0">(C7/B7)*100</f>
        <v>104.77312191587495</v>
      </c>
    </row>
    <row r="8" spans="1:12" ht="18.95" customHeight="1" x14ac:dyDescent="0.2">
      <c r="A8" s="270" t="s">
        <v>94</v>
      </c>
      <c r="B8" s="218">
        <v>319960</v>
      </c>
      <c r="C8" s="219">
        <f>837393</f>
        <v>837393</v>
      </c>
      <c r="D8" s="75">
        <f t="shared" si="0"/>
        <v>261.71802725340666</v>
      </c>
    </row>
    <row r="9" spans="1:12" ht="18.95" customHeight="1" x14ac:dyDescent="0.2">
      <c r="A9" s="270" t="s">
        <v>95</v>
      </c>
      <c r="B9" s="218">
        <v>7240</v>
      </c>
      <c r="C9" s="219">
        <v>7240</v>
      </c>
      <c r="D9" s="75">
        <f t="shared" si="0"/>
        <v>100</v>
      </c>
    </row>
    <row r="10" spans="1:12" ht="18.95" customHeight="1" x14ac:dyDescent="0.2">
      <c r="A10" s="271" t="s">
        <v>96</v>
      </c>
      <c r="B10" s="230">
        <v>409814</v>
      </c>
      <c r="C10" s="220">
        <f>32695909+5211625+4000000</f>
        <v>41907534</v>
      </c>
      <c r="D10" s="78">
        <f t="shared" si="0"/>
        <v>10225.988863240396</v>
      </c>
      <c r="F10" s="11"/>
    </row>
    <row r="11" spans="1:12" ht="18.95" customHeight="1" x14ac:dyDescent="0.25">
      <c r="A11" s="265" t="s">
        <v>7</v>
      </c>
      <c r="B11" s="266">
        <f>SUM(B7:B10)</f>
        <v>7872344</v>
      </c>
      <c r="C11" s="221">
        <f>SUM(C7:C10)</f>
        <v>50228075</v>
      </c>
      <c r="D11" s="77">
        <f t="shared" si="0"/>
        <v>638.03201435303129</v>
      </c>
    </row>
    <row r="12" spans="1:12" s="6" customFormat="1" ht="21.75" customHeight="1" x14ac:dyDescent="0.2">
      <c r="A12" s="7" t="s">
        <v>117</v>
      </c>
      <c r="B12" s="218">
        <v>13236</v>
      </c>
      <c r="C12" s="222">
        <f>19098718+4000000</f>
        <v>23098718</v>
      </c>
      <c r="D12" s="75">
        <f t="shared" si="0"/>
        <v>174514.33967966153</v>
      </c>
    </row>
    <row r="13" spans="1:12" s="6" customFormat="1" ht="27.75" customHeight="1" thickBot="1" x14ac:dyDescent="0.3">
      <c r="A13" s="8" t="s">
        <v>81</v>
      </c>
      <c r="B13" s="267">
        <f>B11-B12</f>
        <v>7859108</v>
      </c>
      <c r="C13" s="223">
        <f>C11-C12</f>
        <v>27129357</v>
      </c>
      <c r="D13" s="76">
        <f t="shared" si="0"/>
        <v>345.19638869958271</v>
      </c>
    </row>
    <row r="14" spans="1:12" ht="13.5" thickTop="1" x14ac:dyDescent="0.2">
      <c r="A14" s="216"/>
      <c r="B14" s="216"/>
      <c r="C14" s="217"/>
      <c r="D14" s="216"/>
    </row>
    <row r="15" spans="1:12" ht="25.5" customHeight="1" thickBot="1" x14ac:dyDescent="0.3">
      <c r="A15" s="286" t="s">
        <v>91</v>
      </c>
      <c r="B15" s="286"/>
      <c r="C15" s="286"/>
      <c r="D15" s="2" t="s">
        <v>0</v>
      </c>
    </row>
    <row r="16" spans="1:12" s="22" customFormat="1" ht="36" customHeight="1" thickTop="1" thickBot="1" x14ac:dyDescent="0.25">
      <c r="A16" s="258" t="s">
        <v>75</v>
      </c>
      <c r="B16" s="262" t="s">
        <v>127</v>
      </c>
      <c r="C16" s="262" t="s">
        <v>128</v>
      </c>
      <c r="D16" s="259" t="s">
        <v>5</v>
      </c>
      <c r="E16" s="21"/>
      <c r="F16" s="21"/>
      <c r="G16" s="21"/>
      <c r="H16" s="67"/>
      <c r="I16" s="60"/>
      <c r="L16" s="23"/>
    </row>
    <row r="17" spans="1:12" s="22" customFormat="1" ht="14.25" thickTop="1" thickBot="1" x14ac:dyDescent="0.25">
      <c r="A17" s="268">
        <v>1</v>
      </c>
      <c r="B17" s="255">
        <v>2</v>
      </c>
      <c r="C17" s="255">
        <v>3</v>
      </c>
      <c r="D17" s="260" t="s">
        <v>89</v>
      </c>
      <c r="E17" s="21"/>
      <c r="F17" s="21">
        <f>C12-C118</f>
        <v>0</v>
      </c>
      <c r="G17" s="21"/>
      <c r="H17" s="67"/>
      <c r="I17" s="60"/>
      <c r="L17" s="23"/>
    </row>
    <row r="18" spans="1:12" s="16" customFormat="1" ht="15.75" thickTop="1" x14ac:dyDescent="0.25">
      <c r="A18" s="254" t="s">
        <v>78</v>
      </c>
      <c r="B18" s="81">
        <f>SUM(B19:B21)</f>
        <v>48558</v>
      </c>
      <c r="C18" s="81">
        <f>SUM(C19:C21)</f>
        <v>48558</v>
      </c>
      <c r="D18" s="296">
        <f>(C18/B18)*100</f>
        <v>100</v>
      </c>
      <c r="E18" s="24"/>
      <c r="F18" s="24"/>
      <c r="G18" s="24"/>
      <c r="H18" s="187"/>
      <c r="I18" s="61"/>
      <c r="L18" s="231"/>
    </row>
    <row r="19" spans="1:12" s="29" customFormat="1" ht="14.25" x14ac:dyDescent="0.2">
      <c r="A19" s="25" t="s">
        <v>99</v>
      </c>
      <c r="B19" s="27">
        <v>47972</v>
      </c>
      <c r="C19" s="27">
        <v>47972</v>
      </c>
      <c r="D19" s="232">
        <f>(C19/B19)*100</f>
        <v>100</v>
      </c>
      <c r="E19" s="28"/>
      <c r="F19" s="28"/>
      <c r="G19" s="28"/>
      <c r="H19" s="187"/>
      <c r="I19" s="51"/>
      <c r="L19" s="30"/>
    </row>
    <row r="20" spans="1:12" s="29" customFormat="1" ht="14.25" hidden="1" x14ac:dyDescent="0.2">
      <c r="A20" s="25" t="s">
        <v>97</v>
      </c>
      <c r="B20" s="27">
        <v>0</v>
      </c>
      <c r="C20" s="27">
        <v>0</v>
      </c>
      <c r="D20" s="232">
        <v>0</v>
      </c>
      <c r="E20" s="28"/>
      <c r="F20" s="28"/>
      <c r="G20" s="28"/>
      <c r="H20" s="187"/>
      <c r="I20" s="51"/>
      <c r="L20" s="30"/>
    </row>
    <row r="21" spans="1:12" s="29" customFormat="1" ht="14.25" x14ac:dyDescent="0.2">
      <c r="A21" s="234" t="s">
        <v>98</v>
      </c>
      <c r="B21" s="293">
        <v>586</v>
      </c>
      <c r="C21" s="293">
        <v>586</v>
      </c>
      <c r="D21" s="294">
        <f>(C21/B21)*100</f>
        <v>100</v>
      </c>
      <c r="E21" s="28"/>
      <c r="F21" s="28"/>
      <c r="G21" s="28"/>
      <c r="H21" s="28"/>
      <c r="I21" s="51"/>
      <c r="L21" s="30"/>
    </row>
    <row r="22" spans="1:12" s="32" customFormat="1" ht="15" x14ac:dyDescent="0.25">
      <c r="A22" s="235" t="s">
        <v>124</v>
      </c>
      <c r="B22" s="291">
        <f>SUM(B23:B25)</f>
        <v>430315</v>
      </c>
      <c r="C22" s="291">
        <f>SUM(C23:C25)</f>
        <v>446655</v>
      </c>
      <c r="D22" s="296">
        <f>(C22/B22)*100</f>
        <v>103.79721831681444</v>
      </c>
      <c r="E22" s="236"/>
      <c r="F22" s="24"/>
      <c r="G22" s="24"/>
      <c r="H22" s="24"/>
      <c r="I22" s="61"/>
      <c r="L22" s="33"/>
    </row>
    <row r="23" spans="1:12" s="32" customFormat="1" ht="14.25" x14ac:dyDescent="0.2">
      <c r="A23" s="25" t="s">
        <v>99</v>
      </c>
      <c r="B23" s="27">
        <v>417665</v>
      </c>
      <c r="C23" s="27">
        <v>433836</v>
      </c>
      <c r="D23" s="232">
        <f>(C23/B23)*100</f>
        <v>103.87176325524044</v>
      </c>
      <c r="E23" s="28"/>
      <c r="F23" s="28"/>
      <c r="G23" s="28"/>
      <c r="H23" s="28"/>
      <c r="I23" s="51"/>
      <c r="L23" s="33"/>
    </row>
    <row r="24" spans="1:12" s="32" customFormat="1" ht="14.25" hidden="1" x14ac:dyDescent="0.2">
      <c r="A24" s="25" t="s">
        <v>97</v>
      </c>
      <c r="B24" s="27">
        <v>0</v>
      </c>
      <c r="C24" s="27">
        <v>0</v>
      </c>
      <c r="D24" s="232">
        <v>0</v>
      </c>
      <c r="E24" s="28"/>
      <c r="F24" s="28"/>
      <c r="G24" s="28"/>
      <c r="H24" s="28"/>
      <c r="I24" s="51"/>
      <c r="L24" s="33"/>
    </row>
    <row r="25" spans="1:12" s="29" customFormat="1" ht="14.25" x14ac:dyDescent="0.2">
      <c r="A25" s="234" t="s">
        <v>98</v>
      </c>
      <c r="B25" s="27">
        <v>12650</v>
      </c>
      <c r="C25" s="27">
        <v>12819</v>
      </c>
      <c r="D25" s="294">
        <f t="shared" ref="D25" si="1">(C25/B25)*100</f>
        <v>101.33596837944665</v>
      </c>
      <c r="E25" s="28"/>
      <c r="F25" s="28"/>
      <c r="G25" s="28"/>
      <c r="H25" s="28"/>
      <c r="I25" s="51"/>
      <c r="L25" s="30"/>
    </row>
    <row r="26" spans="1:12" s="32" customFormat="1" ht="15" x14ac:dyDescent="0.25">
      <c r="A26" s="235" t="s">
        <v>77</v>
      </c>
      <c r="B26" s="291">
        <f>SUM(B27:B28)</f>
        <v>133207</v>
      </c>
      <c r="C26" s="291">
        <f>SUM(C27:C28)</f>
        <v>135955</v>
      </c>
      <c r="D26" s="296">
        <f>(C26/B26)*100</f>
        <v>102.06295464953044</v>
      </c>
      <c r="E26" s="236"/>
      <c r="F26" s="24"/>
      <c r="G26" s="24"/>
      <c r="H26" s="24"/>
      <c r="I26" s="61"/>
      <c r="L26" s="33"/>
    </row>
    <row r="27" spans="1:12" s="32" customFormat="1" ht="14.25" x14ac:dyDescent="0.2">
      <c r="A27" s="25" t="s">
        <v>99</v>
      </c>
      <c r="B27" s="27">
        <v>128007</v>
      </c>
      <c r="C27" s="27">
        <v>127919</v>
      </c>
      <c r="D27" s="232">
        <f>(C27/B27)*100</f>
        <v>99.931253759560022</v>
      </c>
      <c r="E27" s="28"/>
      <c r="F27" s="28"/>
      <c r="G27" s="28"/>
      <c r="H27" s="28"/>
      <c r="I27" s="51"/>
      <c r="L27" s="33"/>
    </row>
    <row r="28" spans="1:12" s="32" customFormat="1" ht="14.25" x14ac:dyDescent="0.2">
      <c r="A28" s="25" t="s">
        <v>97</v>
      </c>
      <c r="B28" s="27">
        <v>5200</v>
      </c>
      <c r="C28" s="27">
        <v>8036</v>
      </c>
      <c r="D28" s="294">
        <f>(C28/B28)*100</f>
        <v>154.53846153846155</v>
      </c>
      <c r="E28" s="28"/>
      <c r="F28" s="28"/>
      <c r="G28" s="28"/>
      <c r="H28" s="28"/>
      <c r="I28" s="51"/>
      <c r="L28" s="33"/>
    </row>
    <row r="29" spans="1:12" s="32" customFormat="1" ht="15" x14ac:dyDescent="0.25">
      <c r="A29" s="261" t="s">
        <v>76</v>
      </c>
      <c r="B29" s="291">
        <f>SUM(B30:B31)</f>
        <v>51540</v>
      </c>
      <c r="C29" s="291">
        <f>SUM(C30:C31)</f>
        <v>51629</v>
      </c>
      <c r="D29" s="296">
        <f t="shared" ref="D29:D37" si="2">(C29/B29)*100</f>
        <v>100.17268141249515</v>
      </c>
      <c r="E29" s="236"/>
      <c r="F29" s="24"/>
      <c r="G29" s="24"/>
      <c r="H29" s="24"/>
      <c r="I29" s="61"/>
      <c r="L29" s="33"/>
    </row>
    <row r="30" spans="1:12" s="32" customFormat="1" ht="14.25" x14ac:dyDescent="0.2">
      <c r="A30" s="25" t="s">
        <v>99</v>
      </c>
      <c r="B30" s="27">
        <v>45555</v>
      </c>
      <c r="C30" s="27">
        <v>45555</v>
      </c>
      <c r="D30" s="232">
        <f t="shared" si="2"/>
        <v>100</v>
      </c>
      <c r="E30" s="28"/>
      <c r="F30" s="28"/>
      <c r="G30" s="28"/>
      <c r="H30" s="28"/>
      <c r="I30" s="51"/>
      <c r="L30" s="33"/>
    </row>
    <row r="31" spans="1:12" s="32" customFormat="1" ht="14.25" x14ac:dyDescent="0.2">
      <c r="A31" s="25" t="s">
        <v>97</v>
      </c>
      <c r="B31" s="27">
        <v>5985</v>
      </c>
      <c r="C31" s="27">
        <v>6074</v>
      </c>
      <c r="D31" s="232">
        <f t="shared" si="2"/>
        <v>101.48705096073517</v>
      </c>
      <c r="E31" s="28"/>
      <c r="F31" s="28"/>
      <c r="G31" s="28"/>
      <c r="H31" s="28"/>
      <c r="I31" s="51"/>
      <c r="L31" s="33"/>
    </row>
    <row r="32" spans="1:12" s="32" customFormat="1" ht="15" x14ac:dyDescent="0.25">
      <c r="A32" s="261" t="s">
        <v>113</v>
      </c>
      <c r="B32" s="291">
        <f>SUM(B33:B34)</f>
        <v>75423</v>
      </c>
      <c r="C32" s="291">
        <f>SUM(C33:C34)</f>
        <v>76062</v>
      </c>
      <c r="D32" s="292">
        <f t="shared" si="2"/>
        <v>100.84722166978241</v>
      </c>
      <c r="E32" s="28"/>
      <c r="F32" s="28"/>
      <c r="G32" s="28"/>
      <c r="H32" s="28"/>
      <c r="I32" s="51"/>
      <c r="L32" s="33"/>
    </row>
    <row r="33" spans="1:12" s="32" customFormat="1" ht="14.25" x14ac:dyDescent="0.2">
      <c r="A33" s="25" t="s">
        <v>99</v>
      </c>
      <c r="B33" s="27">
        <v>45111</v>
      </c>
      <c r="C33" s="27">
        <v>51971</v>
      </c>
      <c r="D33" s="232">
        <f t="shared" si="2"/>
        <v>115.20693400722661</v>
      </c>
      <c r="E33" s="28"/>
      <c r="F33" s="28"/>
      <c r="G33" s="28"/>
      <c r="H33" s="28"/>
      <c r="I33" s="51"/>
      <c r="L33" s="33"/>
    </row>
    <row r="34" spans="1:12" s="32" customFormat="1" ht="14.25" x14ac:dyDescent="0.2">
      <c r="A34" s="25" t="s">
        <v>97</v>
      </c>
      <c r="B34" s="27">
        <v>30312</v>
      </c>
      <c r="C34" s="27">
        <v>24091</v>
      </c>
      <c r="D34" s="232">
        <f t="shared" si="2"/>
        <v>79.476774874637115</v>
      </c>
      <c r="E34" s="28"/>
      <c r="F34" s="28"/>
      <c r="G34" s="28"/>
      <c r="H34" s="28"/>
      <c r="I34" s="51"/>
      <c r="L34" s="33"/>
    </row>
    <row r="35" spans="1:12" s="32" customFormat="1" ht="15" x14ac:dyDescent="0.25">
      <c r="A35" s="235" t="s">
        <v>79</v>
      </c>
      <c r="B35" s="291">
        <f>SUM(B36:B38)</f>
        <v>520799</v>
      </c>
      <c r="C35" s="291">
        <f>SUM(C36:C38)</f>
        <v>23148924</v>
      </c>
      <c r="D35" s="292">
        <f t="shared" si="2"/>
        <v>4444.8864149124711</v>
      </c>
      <c r="E35" s="24"/>
      <c r="F35" s="24"/>
      <c r="G35" s="24"/>
      <c r="H35" s="24"/>
      <c r="I35" s="61"/>
      <c r="L35" s="33"/>
    </row>
    <row r="36" spans="1:12" s="32" customFormat="1" ht="14.25" x14ac:dyDescent="0.2">
      <c r="A36" s="25" t="s">
        <v>99</v>
      </c>
      <c r="B36" s="27">
        <v>392715</v>
      </c>
      <c r="C36" s="27">
        <v>460219</v>
      </c>
      <c r="D36" s="232">
        <f t="shared" si="2"/>
        <v>117.18905567650842</v>
      </c>
      <c r="E36" s="83"/>
      <c r="F36" s="28"/>
      <c r="G36" s="28"/>
      <c r="H36" s="28"/>
      <c r="I36" s="51"/>
      <c r="L36" s="33"/>
    </row>
    <row r="37" spans="1:12" s="29" customFormat="1" ht="14.25" x14ac:dyDescent="0.2">
      <c r="A37" s="233" t="s">
        <v>102</v>
      </c>
      <c r="B37" s="27">
        <v>128084</v>
      </c>
      <c r="C37" s="27">
        <v>0</v>
      </c>
      <c r="D37" s="232">
        <f t="shared" si="2"/>
        <v>0</v>
      </c>
      <c r="E37" s="28"/>
      <c r="F37" s="28"/>
      <c r="G37" s="28"/>
      <c r="H37" s="28"/>
      <c r="I37" s="51"/>
      <c r="L37" s="30"/>
    </row>
    <row r="38" spans="1:12" s="29" customFormat="1" ht="14.25" x14ac:dyDescent="0.2">
      <c r="A38" s="234" t="s">
        <v>98</v>
      </c>
      <c r="B38" s="293">
        <v>0</v>
      </c>
      <c r="C38" s="293">
        <f>18688705+4000000</f>
        <v>22688705</v>
      </c>
      <c r="D38" s="294">
        <v>0</v>
      </c>
      <c r="E38" s="28"/>
      <c r="F38" s="28"/>
      <c r="G38" s="28"/>
      <c r="H38" s="28"/>
      <c r="I38" s="51"/>
      <c r="L38" s="30"/>
    </row>
    <row r="39" spans="1:12" s="32" customFormat="1" ht="17.25" customHeight="1" x14ac:dyDescent="0.25">
      <c r="A39" s="250" t="s">
        <v>80</v>
      </c>
      <c r="B39" s="295">
        <f>SUM(B40:B42)</f>
        <v>153951</v>
      </c>
      <c r="C39" s="295">
        <f>SUM(C40:C42)</f>
        <v>137222</v>
      </c>
      <c r="D39" s="301">
        <f>(C39/B39)*100</f>
        <v>89.133555481939069</v>
      </c>
      <c r="E39" s="24"/>
      <c r="F39" s="24"/>
      <c r="G39" s="24"/>
      <c r="H39" s="24"/>
      <c r="I39" s="61"/>
      <c r="L39" s="33"/>
    </row>
    <row r="40" spans="1:12" s="32" customFormat="1" ht="14.25" x14ac:dyDescent="0.2">
      <c r="A40" s="25" t="s">
        <v>99</v>
      </c>
      <c r="B40" s="27">
        <v>110336</v>
      </c>
      <c r="C40" s="27">
        <v>76104</v>
      </c>
      <c r="D40" s="232">
        <f>(C40/B40)*100</f>
        <v>68.974767981438518</v>
      </c>
      <c r="E40" s="28"/>
      <c r="F40" s="28"/>
      <c r="G40" s="28"/>
      <c r="H40" s="28"/>
      <c r="I40" s="51"/>
      <c r="L40" s="33"/>
    </row>
    <row r="41" spans="1:12" s="32" customFormat="1" ht="14.25" hidden="1" x14ac:dyDescent="0.2">
      <c r="A41" s="25" t="s">
        <v>97</v>
      </c>
      <c r="B41" s="27">
        <v>0</v>
      </c>
      <c r="C41" s="27">
        <v>0</v>
      </c>
      <c r="D41" s="232" t="e">
        <f t="shared" ref="D41" si="3">(C41/B41)*100</f>
        <v>#DIV/0!</v>
      </c>
      <c r="E41" s="28"/>
      <c r="F41" s="28"/>
      <c r="G41" s="28"/>
      <c r="H41" s="28"/>
      <c r="I41" s="51"/>
      <c r="L41" s="33"/>
    </row>
    <row r="42" spans="1:12" s="29" customFormat="1" ht="14.25" x14ac:dyDescent="0.2">
      <c r="A42" s="234" t="s">
        <v>102</v>
      </c>
      <c r="B42" s="293">
        <v>43615</v>
      </c>
      <c r="C42" s="293">
        <v>61118</v>
      </c>
      <c r="D42" s="294">
        <f>(C42/B42)*100</f>
        <v>140.13068898314799</v>
      </c>
      <c r="E42" s="28"/>
      <c r="F42" s="28"/>
      <c r="G42" s="28"/>
      <c r="H42" s="187"/>
      <c r="I42" s="51"/>
      <c r="L42" s="30"/>
    </row>
    <row r="43" spans="1:12" s="15" customFormat="1" ht="16.5" customHeight="1" x14ac:dyDescent="0.25">
      <c r="A43" s="250" t="s">
        <v>112</v>
      </c>
      <c r="B43" s="295">
        <f>SUM(B44:B47)</f>
        <v>22840</v>
      </c>
      <c r="C43" s="295">
        <f>SUM(C44:C47)</f>
        <v>78640</v>
      </c>
      <c r="D43" s="301">
        <f>(C43/B43)*100</f>
        <v>344.30823117338008</v>
      </c>
      <c r="E43" s="236"/>
      <c r="F43" s="24"/>
      <c r="G43" s="24"/>
      <c r="H43" s="187"/>
      <c r="I43" s="61"/>
      <c r="L43" s="14"/>
    </row>
    <row r="44" spans="1:12" s="15" customFormat="1" ht="15" customHeight="1" x14ac:dyDescent="0.2">
      <c r="A44" s="25" t="s">
        <v>99</v>
      </c>
      <c r="B44" s="302">
        <v>8640</v>
      </c>
      <c r="C44" s="302">
        <v>11651</v>
      </c>
      <c r="D44" s="232">
        <f>(C44/B44)*100</f>
        <v>134.84953703703704</v>
      </c>
      <c r="E44" s="28"/>
      <c r="F44" s="28"/>
      <c r="G44" s="28"/>
      <c r="H44" s="187"/>
      <c r="I44" s="51"/>
      <c r="L44" s="14"/>
    </row>
    <row r="45" spans="1:12" s="15" customFormat="1" ht="15" customHeight="1" x14ac:dyDescent="0.2">
      <c r="A45" s="25" t="s">
        <v>97</v>
      </c>
      <c r="B45" s="27">
        <v>0</v>
      </c>
      <c r="C45" s="302">
        <v>45799</v>
      </c>
      <c r="D45" s="232">
        <v>0</v>
      </c>
      <c r="E45" s="28"/>
      <c r="F45" s="28"/>
      <c r="G45" s="28"/>
      <c r="H45" s="187"/>
      <c r="I45" s="51"/>
      <c r="L45" s="14"/>
    </row>
    <row r="46" spans="1:12" s="29" customFormat="1" ht="14.25" x14ac:dyDescent="0.2">
      <c r="A46" s="233" t="s">
        <v>102</v>
      </c>
      <c r="B46" s="27">
        <v>14200</v>
      </c>
      <c r="C46" s="302">
        <v>21190</v>
      </c>
      <c r="D46" s="232">
        <f>(C46/B46)*100</f>
        <v>149.22535211267603</v>
      </c>
      <c r="E46" s="28"/>
      <c r="F46" s="237"/>
      <c r="G46" s="237"/>
      <c r="H46" s="237"/>
      <c r="I46" s="51"/>
      <c r="L46" s="30"/>
    </row>
    <row r="47" spans="1:12" s="29" customFormat="1" ht="14.25" hidden="1" x14ac:dyDescent="0.2">
      <c r="A47" s="234" t="s">
        <v>98</v>
      </c>
      <c r="B47" s="293">
        <v>0</v>
      </c>
      <c r="C47" s="303">
        <v>0</v>
      </c>
      <c r="D47" s="294">
        <v>0</v>
      </c>
      <c r="E47" s="28"/>
      <c r="F47" s="237"/>
      <c r="G47" s="237"/>
      <c r="H47" s="237"/>
      <c r="I47" s="51"/>
      <c r="L47" s="30"/>
    </row>
    <row r="48" spans="1:12" s="45" customFormat="1" ht="16.5" customHeight="1" x14ac:dyDescent="0.25">
      <c r="A48" s="261" t="s">
        <v>111</v>
      </c>
      <c r="B48" s="291">
        <f>B49+B52+B55</f>
        <v>581829</v>
      </c>
      <c r="C48" s="291">
        <f t="shared" ref="C48" si="4">C49+C52+C55</f>
        <v>13077799</v>
      </c>
      <c r="D48" s="292">
        <f t="shared" ref="D48:D54" si="5">(C48/B48)*100</f>
        <v>2247.7049098618322</v>
      </c>
      <c r="E48" s="24"/>
      <c r="F48" s="61"/>
      <c r="G48" s="61"/>
      <c r="H48" s="187"/>
      <c r="I48" s="61"/>
      <c r="L48" s="238"/>
    </row>
    <row r="49" spans="1:13" s="45" customFormat="1" ht="14.25" x14ac:dyDescent="0.2">
      <c r="A49" s="239" t="s">
        <v>17</v>
      </c>
      <c r="B49" s="297">
        <f>B50+B51</f>
        <v>31184</v>
      </c>
      <c r="C49" s="297">
        <f t="shared" ref="C49" si="6">C50+C51</f>
        <v>31426</v>
      </c>
      <c r="D49" s="232">
        <f t="shared" si="5"/>
        <v>100.77603899435607</v>
      </c>
      <c r="E49" s="28"/>
      <c r="F49" s="28"/>
      <c r="G49" s="28"/>
      <c r="H49" s="63"/>
      <c r="I49" s="240"/>
      <c r="J49" s="70"/>
      <c r="K49" s="70"/>
      <c r="L49" s="63"/>
      <c r="M49" s="70"/>
    </row>
    <row r="50" spans="1:13" s="45" customFormat="1" ht="14.25" x14ac:dyDescent="0.2">
      <c r="A50" s="25" t="s">
        <v>99</v>
      </c>
      <c r="B50" s="27">
        <v>10284</v>
      </c>
      <c r="C50" s="27">
        <v>8838</v>
      </c>
      <c r="D50" s="232">
        <f t="shared" si="5"/>
        <v>85.93932322053675</v>
      </c>
      <c r="E50" s="28"/>
      <c r="F50" s="28"/>
      <c r="G50" s="28"/>
      <c r="H50" s="63"/>
      <c r="I50" s="51"/>
      <c r="J50" s="38"/>
      <c r="K50" s="70"/>
      <c r="L50" s="63"/>
      <c r="M50" s="70"/>
    </row>
    <row r="51" spans="1:13" s="45" customFormat="1" ht="14.25" x14ac:dyDescent="0.2">
      <c r="A51" s="233" t="s">
        <v>102</v>
      </c>
      <c r="B51" s="27">
        <v>20900</v>
      </c>
      <c r="C51" s="27">
        <v>22588</v>
      </c>
      <c r="D51" s="232">
        <f t="shared" si="5"/>
        <v>108.07655502392343</v>
      </c>
      <c r="E51" s="28"/>
      <c r="F51" s="28"/>
      <c r="G51" s="28"/>
      <c r="H51" s="63"/>
      <c r="I51" s="51"/>
      <c r="J51" s="241"/>
      <c r="K51" s="70"/>
      <c r="L51" s="63"/>
      <c r="M51" s="70"/>
    </row>
    <row r="52" spans="1:13" s="45" customFormat="1" ht="14.25" x14ac:dyDescent="0.2">
      <c r="A52" s="48" t="s">
        <v>18</v>
      </c>
      <c r="B52" s="297">
        <f>B53+B54</f>
        <v>550645</v>
      </c>
      <c r="C52" s="297">
        <f>C53+C54</f>
        <v>4702640</v>
      </c>
      <c r="D52" s="232">
        <f t="shared" si="5"/>
        <v>854.02391740595112</v>
      </c>
      <c r="E52" s="28"/>
      <c r="F52" s="28"/>
      <c r="G52" s="28"/>
      <c r="H52" s="187"/>
      <c r="I52" s="240"/>
      <c r="J52" s="70"/>
      <c r="K52" s="70"/>
      <c r="L52" s="63"/>
      <c r="M52" s="70"/>
    </row>
    <row r="53" spans="1:13" s="45" customFormat="1" ht="14.25" x14ac:dyDescent="0.2">
      <c r="A53" s="25" t="s">
        <v>99</v>
      </c>
      <c r="B53" s="27">
        <v>530815</v>
      </c>
      <c r="C53" s="27">
        <v>4607369</v>
      </c>
      <c r="D53" s="232">
        <f t="shared" si="5"/>
        <v>867.9801814191386</v>
      </c>
      <c r="E53" s="242"/>
      <c r="F53" s="242"/>
      <c r="G53" s="28"/>
      <c r="H53" s="187"/>
      <c r="I53" s="51"/>
      <c r="J53" s="70"/>
      <c r="K53" s="70"/>
      <c r="L53" s="63"/>
      <c r="M53" s="70"/>
    </row>
    <row r="54" spans="1:13" s="45" customFormat="1" ht="14.25" x14ac:dyDescent="0.2">
      <c r="A54" s="25" t="s">
        <v>97</v>
      </c>
      <c r="B54" s="27">
        <v>19830</v>
      </c>
      <c r="C54" s="302">
        <v>95271</v>
      </c>
      <c r="D54" s="232">
        <f t="shared" si="5"/>
        <v>480.4387291981846</v>
      </c>
      <c r="E54" s="242"/>
      <c r="F54" s="242"/>
      <c r="G54" s="28"/>
      <c r="H54" s="187"/>
      <c r="I54" s="51"/>
      <c r="J54" s="70"/>
      <c r="K54" s="70"/>
      <c r="L54" s="63"/>
      <c r="M54" s="70"/>
    </row>
    <row r="55" spans="1:13" s="45" customFormat="1" ht="15.75" customHeight="1" x14ac:dyDescent="0.2">
      <c r="A55" s="243" t="s">
        <v>114</v>
      </c>
      <c r="B55" s="304">
        <f>B56</f>
        <v>0</v>
      </c>
      <c r="C55" s="304">
        <f t="shared" ref="C55" si="7">C56</f>
        <v>8343733</v>
      </c>
      <c r="D55" s="232">
        <v>0</v>
      </c>
      <c r="E55" s="28"/>
      <c r="F55" s="28"/>
      <c r="G55" s="28"/>
      <c r="H55" s="63"/>
      <c r="I55" s="240"/>
      <c r="J55" s="70"/>
      <c r="K55" s="70"/>
      <c r="L55" s="63"/>
      <c r="M55" s="70"/>
    </row>
    <row r="56" spans="1:13" s="45" customFormat="1" ht="14.25" x14ac:dyDescent="0.2">
      <c r="A56" s="233" t="s">
        <v>99</v>
      </c>
      <c r="B56" s="27">
        <v>0</v>
      </c>
      <c r="C56" s="27">
        <v>8343733</v>
      </c>
      <c r="D56" s="232">
        <v>0</v>
      </c>
      <c r="E56" s="28"/>
      <c r="F56" s="28"/>
      <c r="G56" s="28"/>
      <c r="H56" s="28"/>
      <c r="I56" s="51"/>
      <c r="J56" s="70"/>
      <c r="K56" s="63"/>
      <c r="L56" s="63"/>
      <c r="M56" s="70"/>
    </row>
    <row r="57" spans="1:13" s="15" customFormat="1" ht="15" x14ac:dyDescent="0.25">
      <c r="A57" s="235" t="s">
        <v>110</v>
      </c>
      <c r="B57" s="291">
        <f>B58+B62</f>
        <v>546836</v>
      </c>
      <c r="C57" s="291">
        <f>C58+C62</f>
        <v>2550305</v>
      </c>
      <c r="D57" s="292">
        <f>(C57/B57)*100</f>
        <v>466.37474489609315</v>
      </c>
      <c r="E57" s="236"/>
      <c r="F57" s="61"/>
      <c r="G57" s="61"/>
      <c r="H57" s="187"/>
      <c r="I57" s="61"/>
      <c r="J57" s="72"/>
      <c r="K57" s="72"/>
      <c r="L57" s="73"/>
      <c r="M57" s="72"/>
    </row>
    <row r="58" spans="1:13" s="29" customFormat="1" ht="14.25" x14ac:dyDescent="0.2">
      <c r="A58" s="239" t="s">
        <v>17</v>
      </c>
      <c r="B58" s="297">
        <f>B59+B61</f>
        <v>98958</v>
      </c>
      <c r="C58" s="297">
        <f>C59+C61+C60</f>
        <v>1199677</v>
      </c>
      <c r="D58" s="232">
        <f>(C58/B58)*100</f>
        <v>1212.3092625154106</v>
      </c>
      <c r="E58" s="244"/>
      <c r="F58" s="244"/>
      <c r="G58" s="244"/>
      <c r="H58" s="187"/>
      <c r="I58" s="240"/>
      <c r="J58" s="49"/>
      <c r="K58" s="49"/>
      <c r="L58" s="50"/>
      <c r="M58" s="49"/>
    </row>
    <row r="59" spans="1:13" s="29" customFormat="1" ht="14.25" x14ac:dyDescent="0.2">
      <c r="A59" s="25" t="s">
        <v>99</v>
      </c>
      <c r="B59" s="27">
        <v>10058</v>
      </c>
      <c r="C59" s="27">
        <v>1093641</v>
      </c>
      <c r="D59" s="232">
        <f>(C59/B59)*100</f>
        <v>10873.344601312388</v>
      </c>
      <c r="E59" s="244"/>
      <c r="F59" s="244"/>
      <c r="G59" s="244"/>
      <c r="H59" s="187"/>
      <c r="I59" s="51"/>
      <c r="J59" s="71"/>
      <c r="K59" s="49"/>
      <c r="L59" s="50"/>
      <c r="M59" s="49"/>
    </row>
    <row r="60" spans="1:13" s="45" customFormat="1" ht="14.25" x14ac:dyDescent="0.2">
      <c r="A60" s="25" t="s">
        <v>97</v>
      </c>
      <c r="B60" s="27">
        <v>0</v>
      </c>
      <c r="C60" s="302">
        <v>2000</v>
      </c>
      <c r="D60" s="232">
        <v>0</v>
      </c>
      <c r="E60" s="242"/>
      <c r="F60" s="242"/>
      <c r="G60" s="28"/>
      <c r="H60" s="187"/>
      <c r="I60" s="51"/>
      <c r="J60" s="70"/>
      <c r="K60" s="70"/>
      <c r="L60" s="63"/>
      <c r="M60" s="70"/>
    </row>
    <row r="61" spans="1:13" s="29" customFormat="1" ht="14.25" x14ac:dyDescent="0.2">
      <c r="A61" s="233" t="s">
        <v>102</v>
      </c>
      <c r="B61" s="27">
        <v>88900</v>
      </c>
      <c r="C61" s="27">
        <v>104036</v>
      </c>
      <c r="D61" s="232">
        <f>(C61/B61)*100</f>
        <v>117.02587176602925</v>
      </c>
      <c r="E61" s="244"/>
      <c r="F61" s="244"/>
      <c r="G61" s="244"/>
      <c r="H61" s="187"/>
      <c r="I61" s="51"/>
      <c r="J61" s="49"/>
      <c r="K61" s="49"/>
      <c r="L61" s="50"/>
      <c r="M61" s="49"/>
    </row>
    <row r="62" spans="1:13" s="15" customFormat="1" ht="17.45" customHeight="1" x14ac:dyDescent="0.2">
      <c r="A62" s="48" t="s">
        <v>18</v>
      </c>
      <c r="B62" s="297">
        <f>B64+B63</f>
        <v>447878</v>
      </c>
      <c r="C62" s="297">
        <f>C64+C63</f>
        <v>1350628</v>
      </c>
      <c r="D62" s="232">
        <f t="shared" ref="D62:D64" si="8">(C62/B62)*100</f>
        <v>301.56158596760724</v>
      </c>
      <c r="E62" s="244"/>
      <c r="F62" s="244"/>
      <c r="G62" s="244"/>
      <c r="H62" s="187"/>
      <c r="I62" s="240"/>
      <c r="J62" s="72"/>
      <c r="K62" s="72"/>
      <c r="L62" s="73"/>
      <c r="M62" s="72"/>
    </row>
    <row r="63" spans="1:13" s="15" customFormat="1" ht="17.45" customHeight="1" x14ac:dyDescent="0.2">
      <c r="A63" s="25" t="s">
        <v>99</v>
      </c>
      <c r="B63" s="27">
        <v>445578</v>
      </c>
      <c r="C63" s="27">
        <v>1326333</v>
      </c>
      <c r="D63" s="232">
        <f t="shared" si="8"/>
        <v>297.66572855930946</v>
      </c>
      <c r="E63" s="244"/>
      <c r="F63" s="244"/>
      <c r="G63" s="244"/>
      <c r="H63" s="187"/>
      <c r="I63" s="240"/>
      <c r="J63" s="72"/>
      <c r="K63" s="72"/>
      <c r="L63" s="73"/>
      <c r="M63" s="72"/>
    </row>
    <row r="64" spans="1:13" s="15" customFormat="1" ht="15" customHeight="1" x14ac:dyDescent="0.2">
      <c r="A64" s="251" t="s">
        <v>97</v>
      </c>
      <c r="B64" s="27">
        <v>2300</v>
      </c>
      <c r="C64" s="27">
        <v>24295</v>
      </c>
      <c r="D64" s="232">
        <f t="shared" si="8"/>
        <v>1056.304347826087</v>
      </c>
      <c r="E64" s="28"/>
      <c r="F64" s="28"/>
      <c r="G64" s="28"/>
      <c r="H64" s="187"/>
      <c r="I64" s="51"/>
      <c r="J64" s="72"/>
      <c r="K64" s="72"/>
      <c r="L64" s="73"/>
      <c r="M64" s="72"/>
    </row>
    <row r="65" spans="1:13" s="15" customFormat="1" ht="15" customHeight="1" x14ac:dyDescent="0.25">
      <c r="A65" s="272" t="s">
        <v>83</v>
      </c>
      <c r="B65" s="291">
        <f>B66+B70</f>
        <v>3030303</v>
      </c>
      <c r="C65" s="291">
        <f>C66+C70</f>
        <v>4213821</v>
      </c>
      <c r="D65" s="292">
        <f t="shared" ref="D65:D72" si="9">(C65/B65)*100</f>
        <v>139.05609439056096</v>
      </c>
      <c r="E65" s="24"/>
      <c r="F65" s="61"/>
      <c r="G65" s="61"/>
      <c r="H65" s="187"/>
      <c r="I65" s="61"/>
      <c r="J65" s="72"/>
      <c r="K65" s="72"/>
      <c r="L65" s="73"/>
      <c r="M65" s="72"/>
    </row>
    <row r="66" spans="1:13" s="15" customFormat="1" ht="15" customHeight="1" x14ac:dyDescent="0.2">
      <c r="A66" s="239" t="s">
        <v>17</v>
      </c>
      <c r="B66" s="297">
        <f>B67+B68+B69</f>
        <v>32934</v>
      </c>
      <c r="C66" s="297">
        <f>C67+C68+C69</f>
        <v>60331</v>
      </c>
      <c r="D66" s="232">
        <f t="shared" si="9"/>
        <v>183.18758729580372</v>
      </c>
      <c r="E66" s="244"/>
      <c r="F66" s="244"/>
      <c r="G66" s="244"/>
      <c r="H66" s="187"/>
      <c r="I66" s="240"/>
      <c r="J66" s="72"/>
      <c r="K66" s="72"/>
      <c r="L66" s="73"/>
      <c r="M66" s="72"/>
    </row>
    <row r="67" spans="1:13" s="15" customFormat="1" ht="15" customHeight="1" x14ac:dyDescent="0.2">
      <c r="A67" s="25" t="s">
        <v>99</v>
      </c>
      <c r="B67" s="27">
        <v>5034</v>
      </c>
      <c r="C67" s="27">
        <v>5034</v>
      </c>
      <c r="D67" s="232">
        <f t="shared" si="9"/>
        <v>100</v>
      </c>
      <c r="E67" s="28"/>
      <c r="F67" s="28"/>
      <c r="G67" s="28"/>
      <c r="H67" s="187"/>
      <c r="I67" s="51"/>
      <c r="J67" s="71"/>
      <c r="K67" s="72"/>
      <c r="L67" s="73"/>
      <c r="M67" s="72"/>
    </row>
    <row r="68" spans="1:13" s="15" customFormat="1" ht="15" customHeight="1" x14ac:dyDescent="0.2">
      <c r="A68" s="25" t="s">
        <v>97</v>
      </c>
      <c r="B68" s="27">
        <v>5900</v>
      </c>
      <c r="C68" s="27">
        <v>5900</v>
      </c>
      <c r="D68" s="232">
        <f t="shared" si="9"/>
        <v>100</v>
      </c>
      <c r="E68" s="28"/>
      <c r="F68" s="28"/>
      <c r="G68" s="28"/>
      <c r="H68" s="187"/>
      <c r="I68" s="51"/>
      <c r="J68" s="71"/>
      <c r="K68" s="72"/>
      <c r="L68" s="73"/>
      <c r="M68" s="72"/>
    </row>
    <row r="69" spans="1:13" s="15" customFormat="1" ht="15" customHeight="1" x14ac:dyDescent="0.2">
      <c r="A69" s="233" t="s">
        <v>102</v>
      </c>
      <c r="B69" s="27">
        <v>22000</v>
      </c>
      <c r="C69" s="27">
        <v>49397</v>
      </c>
      <c r="D69" s="232">
        <f t="shared" si="9"/>
        <v>224.53181818181821</v>
      </c>
      <c r="E69" s="28"/>
      <c r="F69" s="28"/>
      <c r="G69" s="28"/>
      <c r="H69" s="187"/>
      <c r="I69" s="51"/>
      <c r="J69" s="72"/>
      <c r="K69" s="72"/>
      <c r="L69" s="73"/>
      <c r="M69" s="72"/>
    </row>
    <row r="70" spans="1:13" s="15" customFormat="1" ht="17.45" customHeight="1" x14ac:dyDescent="0.2">
      <c r="A70" s="48" t="s">
        <v>18</v>
      </c>
      <c r="B70" s="297">
        <f>B71+B72</f>
        <v>2997369</v>
      </c>
      <c r="C70" s="297">
        <f t="shared" ref="C70" si="10">C71+C72</f>
        <v>4153490</v>
      </c>
      <c r="D70" s="232">
        <f t="shared" si="9"/>
        <v>138.57119360345689</v>
      </c>
      <c r="E70" s="244"/>
      <c r="F70" s="28"/>
      <c r="G70" s="28"/>
      <c r="H70" s="28"/>
      <c r="I70" s="51"/>
      <c r="J70" s="72"/>
      <c r="K70" s="72"/>
      <c r="L70" s="73"/>
      <c r="M70" s="72"/>
    </row>
    <row r="71" spans="1:13" s="15" customFormat="1" ht="15" customHeight="1" x14ac:dyDescent="0.2">
      <c r="A71" s="25" t="s">
        <v>99</v>
      </c>
      <c r="B71" s="27">
        <v>2726931</v>
      </c>
      <c r="C71" s="27">
        <v>3227450</v>
      </c>
      <c r="D71" s="232">
        <f t="shared" si="9"/>
        <v>118.35466317262886</v>
      </c>
      <c r="E71" s="28"/>
      <c r="F71" s="28"/>
      <c r="G71" s="28"/>
      <c r="H71" s="187"/>
      <c r="I71" s="51"/>
      <c r="J71" s="72"/>
      <c r="K71" s="72"/>
      <c r="L71" s="73"/>
      <c r="M71" s="72"/>
    </row>
    <row r="72" spans="1:13" s="15" customFormat="1" ht="15" customHeight="1" thickBot="1" x14ac:dyDescent="0.25">
      <c r="A72" s="25" t="s">
        <v>97</v>
      </c>
      <c r="B72" s="305">
        <v>270438</v>
      </c>
      <c r="C72" s="305">
        <v>926040</v>
      </c>
      <c r="D72" s="232">
        <f t="shared" si="9"/>
        <v>342.42229272513481</v>
      </c>
      <c r="E72" s="28"/>
      <c r="F72" s="28"/>
      <c r="G72" s="28"/>
      <c r="H72" s="187"/>
      <c r="I72" s="51"/>
      <c r="J72" s="72"/>
      <c r="K72" s="72"/>
      <c r="L72" s="73"/>
      <c r="M72" s="72"/>
    </row>
    <row r="73" spans="1:13" s="15" customFormat="1" ht="15" customHeight="1" thickTop="1" x14ac:dyDescent="0.2">
      <c r="A73" s="274"/>
      <c r="B73" s="275"/>
      <c r="C73" s="275"/>
      <c r="D73" s="276"/>
      <c r="E73" s="28"/>
      <c r="F73" s="28"/>
      <c r="G73" s="28"/>
      <c r="H73" s="187"/>
      <c r="I73" s="51"/>
      <c r="J73" s="72"/>
      <c r="K73" s="72"/>
      <c r="L73" s="73"/>
      <c r="M73" s="72"/>
    </row>
    <row r="74" spans="1:13" s="15" customFormat="1" ht="15" customHeight="1" thickBot="1" x14ac:dyDescent="0.25">
      <c r="A74" s="277"/>
      <c r="B74" s="278"/>
      <c r="C74" s="278"/>
      <c r="D74" s="279" t="s">
        <v>0</v>
      </c>
      <c r="E74" s="28"/>
      <c r="F74" s="28"/>
      <c r="G74" s="28"/>
      <c r="H74" s="187"/>
      <c r="I74" s="51"/>
      <c r="J74" s="72"/>
      <c r="K74" s="72"/>
      <c r="L74" s="73"/>
      <c r="M74" s="72"/>
    </row>
    <row r="75" spans="1:13" s="45" customFormat="1" ht="36" customHeight="1" thickTop="1" thickBot="1" x14ac:dyDescent="0.25">
      <c r="A75" s="258" t="s">
        <v>75</v>
      </c>
      <c r="B75" s="262" t="s">
        <v>127</v>
      </c>
      <c r="C75" s="262" t="s">
        <v>128</v>
      </c>
      <c r="D75" s="259" t="s">
        <v>5</v>
      </c>
      <c r="E75" s="28"/>
      <c r="F75" s="28"/>
      <c r="G75" s="160"/>
      <c r="H75" s="63"/>
      <c r="I75" s="51"/>
      <c r="J75" s="70"/>
      <c r="K75" s="63"/>
      <c r="L75" s="63"/>
      <c r="M75" s="70"/>
    </row>
    <row r="76" spans="1:13" s="45" customFormat="1" ht="15.75" thickTop="1" thickBot="1" x14ac:dyDescent="0.25">
      <c r="A76" s="268">
        <v>1</v>
      </c>
      <c r="B76" s="255">
        <v>2</v>
      </c>
      <c r="C76" s="255">
        <v>3</v>
      </c>
      <c r="D76" s="260" t="s">
        <v>89</v>
      </c>
      <c r="E76" s="28"/>
      <c r="F76" s="28"/>
      <c r="G76" s="160"/>
      <c r="H76" s="63"/>
      <c r="I76" s="51"/>
      <c r="J76" s="70"/>
      <c r="K76" s="63"/>
      <c r="L76" s="63"/>
      <c r="M76" s="70"/>
    </row>
    <row r="77" spans="1:13" s="45" customFormat="1" ht="15.75" thickTop="1" x14ac:dyDescent="0.25">
      <c r="A77" s="245" t="s">
        <v>109</v>
      </c>
      <c r="B77" s="291">
        <f>SUM(B78,B82)</f>
        <v>493943</v>
      </c>
      <c r="C77" s="291">
        <f>SUM(C78,C82)</f>
        <v>758353</v>
      </c>
      <c r="D77" s="292">
        <f>(C77/B77)*100</f>
        <v>153.53046809044767</v>
      </c>
      <c r="E77" s="28"/>
      <c r="F77" s="28"/>
      <c r="G77" s="160"/>
      <c r="H77" s="63"/>
      <c r="I77" s="51"/>
      <c r="J77" s="70"/>
      <c r="K77" s="63"/>
      <c r="L77" s="63"/>
      <c r="M77" s="70"/>
    </row>
    <row r="78" spans="1:13" s="15" customFormat="1" ht="15" customHeight="1" x14ac:dyDescent="0.2">
      <c r="A78" s="239" t="s">
        <v>17</v>
      </c>
      <c r="B78" s="297">
        <f>B79+B80+B81</f>
        <v>214363</v>
      </c>
      <c r="C78" s="297">
        <f>C79+C80+C81</f>
        <v>408925</v>
      </c>
      <c r="D78" s="232">
        <f>(C78/B78)*100</f>
        <v>190.76286486007382</v>
      </c>
      <c r="E78" s="244"/>
      <c r="F78" s="244"/>
      <c r="G78" s="244"/>
      <c r="H78" s="187"/>
      <c r="I78" s="240"/>
      <c r="J78" s="72"/>
      <c r="K78" s="72"/>
      <c r="L78" s="73"/>
      <c r="M78" s="72"/>
    </row>
    <row r="79" spans="1:13" s="45" customFormat="1" ht="14.25" x14ac:dyDescent="0.2">
      <c r="A79" s="25" t="s">
        <v>99</v>
      </c>
      <c r="B79" s="27">
        <v>22508</v>
      </c>
      <c r="C79" s="27">
        <v>36854</v>
      </c>
      <c r="D79" s="232">
        <f>(C79/B79)*100</f>
        <v>163.73733783543628</v>
      </c>
      <c r="E79" s="28"/>
      <c r="F79" s="28"/>
      <c r="G79" s="160"/>
      <c r="H79" s="63"/>
      <c r="I79" s="51"/>
      <c r="J79" s="70"/>
      <c r="K79" s="63"/>
      <c r="L79" s="63"/>
      <c r="M79" s="70"/>
    </row>
    <row r="80" spans="1:13" s="45" customFormat="1" ht="14.25" hidden="1" x14ac:dyDescent="0.2">
      <c r="A80" s="25" t="s">
        <v>97</v>
      </c>
      <c r="B80" s="27">
        <v>0</v>
      </c>
      <c r="C80" s="27">
        <v>0</v>
      </c>
      <c r="D80" s="232">
        <v>0</v>
      </c>
      <c r="E80" s="28"/>
      <c r="F80" s="28"/>
      <c r="G80" s="160"/>
      <c r="H80" s="63"/>
      <c r="I80" s="51"/>
      <c r="J80" s="70"/>
      <c r="K80" s="63"/>
      <c r="L80" s="63"/>
      <c r="M80" s="70"/>
    </row>
    <row r="81" spans="1:13" s="45" customFormat="1" ht="14.25" x14ac:dyDescent="0.2">
      <c r="A81" s="233" t="s">
        <v>102</v>
      </c>
      <c r="B81" s="27">
        <v>191855</v>
      </c>
      <c r="C81" s="27">
        <v>372071</v>
      </c>
      <c r="D81" s="232">
        <f t="shared" ref="D81:D87" si="11">(C81/B81)*100</f>
        <v>193.93343931615021</v>
      </c>
      <c r="E81" s="28"/>
      <c r="F81" s="28"/>
      <c r="G81" s="160"/>
      <c r="H81" s="63"/>
      <c r="I81" s="51"/>
      <c r="J81" s="70"/>
      <c r="K81" s="63"/>
      <c r="L81" s="63"/>
      <c r="M81" s="70"/>
    </row>
    <row r="82" spans="1:13" s="15" customFormat="1" ht="17.45" customHeight="1" x14ac:dyDescent="0.2">
      <c r="A82" s="48" t="s">
        <v>18</v>
      </c>
      <c r="B82" s="297">
        <f>B83+B84</f>
        <v>279580</v>
      </c>
      <c r="C82" s="297">
        <f>C83+C84</f>
        <v>349428</v>
      </c>
      <c r="D82" s="232">
        <f t="shared" si="11"/>
        <v>124.98318906931827</v>
      </c>
      <c r="E82" s="244"/>
      <c r="F82" s="28"/>
      <c r="G82" s="28"/>
      <c r="H82" s="28"/>
      <c r="I82" s="51"/>
      <c r="J82" s="72"/>
      <c r="K82" s="72"/>
      <c r="L82" s="73"/>
      <c r="M82" s="72"/>
    </row>
    <row r="83" spans="1:13" s="15" customFormat="1" ht="15" customHeight="1" x14ac:dyDescent="0.2">
      <c r="A83" s="25" t="s">
        <v>99</v>
      </c>
      <c r="B83" s="27">
        <v>274165</v>
      </c>
      <c r="C83" s="27">
        <v>293091</v>
      </c>
      <c r="D83" s="232">
        <f t="shared" si="11"/>
        <v>106.90314226834205</v>
      </c>
      <c r="E83" s="28"/>
      <c r="F83" s="28"/>
      <c r="G83" s="28"/>
      <c r="H83" s="187"/>
      <c r="I83" s="51"/>
      <c r="J83" s="72"/>
      <c r="K83" s="72"/>
      <c r="L83" s="73"/>
      <c r="M83" s="72"/>
    </row>
    <row r="84" spans="1:13" s="15" customFormat="1" ht="15" customHeight="1" x14ac:dyDescent="0.2">
      <c r="A84" s="251" t="s">
        <v>97</v>
      </c>
      <c r="B84" s="293">
        <v>5415</v>
      </c>
      <c r="C84" s="293">
        <v>56337</v>
      </c>
      <c r="D84" s="294">
        <f t="shared" si="11"/>
        <v>1040.387811634349</v>
      </c>
      <c r="E84" s="28"/>
      <c r="F84" s="28"/>
      <c r="G84" s="28"/>
      <c r="H84" s="187"/>
      <c r="I84" s="51"/>
      <c r="J84" s="72"/>
      <c r="K84" s="72"/>
      <c r="L84" s="73"/>
      <c r="M84" s="72"/>
    </row>
    <row r="85" spans="1:13" s="32" customFormat="1" ht="15" x14ac:dyDescent="0.25">
      <c r="A85" s="245" t="s">
        <v>84</v>
      </c>
      <c r="B85" s="295">
        <f>B86+B90</f>
        <v>505067</v>
      </c>
      <c r="C85" s="295">
        <f>C86+C90</f>
        <v>548436</v>
      </c>
      <c r="D85" s="296">
        <f t="shared" si="11"/>
        <v>108.5867815557144</v>
      </c>
      <c r="E85" s="236"/>
      <c r="F85" s="61"/>
      <c r="G85" s="61"/>
      <c r="H85" s="187"/>
      <c r="I85" s="61"/>
      <c r="J85" s="49"/>
      <c r="K85" s="71"/>
      <c r="L85" s="41"/>
      <c r="M85" s="71"/>
    </row>
    <row r="86" spans="1:13" s="29" customFormat="1" ht="14.25" x14ac:dyDescent="0.2">
      <c r="A86" s="239" t="s">
        <v>17</v>
      </c>
      <c r="B86" s="297">
        <f>B87+B88+B89</f>
        <v>104031</v>
      </c>
      <c r="C86" s="297">
        <f t="shared" ref="C86" si="12">C87+C88+C89</f>
        <v>109622</v>
      </c>
      <c r="D86" s="232">
        <f t="shared" si="11"/>
        <v>105.37435956589863</v>
      </c>
      <c r="E86" s="244"/>
      <c r="F86" s="244"/>
      <c r="G86" s="244"/>
      <c r="H86" s="187"/>
      <c r="I86" s="240"/>
      <c r="J86" s="49"/>
      <c r="K86" s="49"/>
      <c r="L86" s="50"/>
      <c r="M86" s="49"/>
    </row>
    <row r="87" spans="1:13" s="29" customFormat="1" ht="14.25" x14ac:dyDescent="0.2">
      <c r="A87" s="25" t="s">
        <v>99</v>
      </c>
      <c r="B87" s="27">
        <v>84131</v>
      </c>
      <c r="C87" s="27">
        <v>81612</v>
      </c>
      <c r="D87" s="232">
        <f t="shared" si="11"/>
        <v>97.005859908951521</v>
      </c>
      <c r="E87" s="28"/>
      <c r="F87" s="28"/>
      <c r="G87" s="28"/>
      <c r="H87" s="187"/>
      <c r="I87" s="51"/>
      <c r="J87" s="71"/>
      <c r="K87" s="49"/>
      <c r="L87" s="50"/>
      <c r="M87" s="49"/>
    </row>
    <row r="88" spans="1:13" s="29" customFormat="1" ht="14.25" x14ac:dyDescent="0.2">
      <c r="A88" s="25" t="s">
        <v>97</v>
      </c>
      <c r="B88" s="27">
        <v>0</v>
      </c>
      <c r="C88" s="27">
        <v>465</v>
      </c>
      <c r="D88" s="232">
        <v>0</v>
      </c>
      <c r="E88" s="28"/>
      <c r="F88" s="28"/>
      <c r="G88" s="28"/>
      <c r="H88" s="187"/>
      <c r="I88" s="51"/>
      <c r="J88" s="49"/>
      <c r="K88" s="49"/>
      <c r="L88" s="50"/>
      <c r="M88" s="49"/>
    </row>
    <row r="89" spans="1:13" s="29" customFormat="1" ht="14.25" x14ac:dyDescent="0.2">
      <c r="A89" s="233" t="s">
        <v>102</v>
      </c>
      <c r="B89" s="27">
        <v>19900</v>
      </c>
      <c r="C89" s="27">
        <v>27545</v>
      </c>
      <c r="D89" s="232">
        <f>(C89/B89)*100</f>
        <v>138.4170854271357</v>
      </c>
      <c r="E89" s="28"/>
      <c r="F89" s="28"/>
      <c r="G89" s="28"/>
      <c r="H89" s="187"/>
      <c r="I89" s="51"/>
      <c r="J89" s="49"/>
      <c r="K89" s="49"/>
      <c r="L89" s="50"/>
      <c r="M89" s="49"/>
    </row>
    <row r="90" spans="1:13" s="29" customFormat="1" ht="14.25" x14ac:dyDescent="0.2">
      <c r="A90" s="48" t="s">
        <v>18</v>
      </c>
      <c r="B90" s="297">
        <f>B91+B92</f>
        <v>401036</v>
      </c>
      <c r="C90" s="297">
        <f>C91+C92</f>
        <v>438814</v>
      </c>
      <c r="D90" s="232">
        <f t="shared" ref="D90:D92" si="13">(C90/B90)*100</f>
        <v>109.4201019359858</v>
      </c>
      <c r="E90" s="244"/>
      <c r="F90" s="244"/>
      <c r="G90" s="244"/>
      <c r="H90" s="187"/>
      <c r="I90" s="240"/>
      <c r="J90" s="49"/>
      <c r="K90" s="49"/>
      <c r="L90" s="50"/>
      <c r="M90" s="49"/>
    </row>
    <row r="91" spans="1:13" s="29" customFormat="1" ht="14.25" x14ac:dyDescent="0.2">
      <c r="A91" s="25" t="s">
        <v>99</v>
      </c>
      <c r="B91" s="27">
        <v>362744</v>
      </c>
      <c r="C91" s="27">
        <v>347602</v>
      </c>
      <c r="D91" s="232">
        <f t="shared" si="13"/>
        <v>95.82570628321902</v>
      </c>
      <c r="E91" s="28"/>
      <c r="F91" s="28"/>
      <c r="G91" s="28"/>
      <c r="H91" s="187"/>
      <c r="I91" s="51"/>
      <c r="J91" s="49"/>
      <c r="K91" s="49"/>
      <c r="L91" s="50"/>
      <c r="M91" s="49"/>
    </row>
    <row r="92" spans="1:13" s="29" customFormat="1" ht="14.25" x14ac:dyDescent="0.2">
      <c r="A92" s="25" t="s">
        <v>97</v>
      </c>
      <c r="B92" s="27">
        <v>38292</v>
      </c>
      <c r="C92" s="27">
        <v>91212</v>
      </c>
      <c r="D92" s="232">
        <f t="shared" si="13"/>
        <v>238.20119084926355</v>
      </c>
      <c r="E92" s="28"/>
      <c r="F92" s="28"/>
      <c r="G92" s="28"/>
      <c r="H92" s="187"/>
      <c r="I92" s="51"/>
      <c r="J92" s="49"/>
      <c r="K92" s="49"/>
      <c r="L92" s="50"/>
      <c r="M92" s="49"/>
    </row>
    <row r="93" spans="1:13" s="32" customFormat="1" ht="15" customHeight="1" x14ac:dyDescent="0.25">
      <c r="A93" s="285" t="s">
        <v>129</v>
      </c>
      <c r="B93" s="298">
        <v>0</v>
      </c>
      <c r="C93" s="298">
        <v>529</v>
      </c>
      <c r="D93" s="299">
        <v>0</v>
      </c>
      <c r="E93" s="24"/>
      <c r="F93" s="28"/>
      <c r="G93" s="28"/>
      <c r="H93" s="28"/>
      <c r="I93" s="61"/>
      <c r="J93" s="71"/>
      <c r="K93" s="71"/>
      <c r="L93" s="41"/>
      <c r="M93" s="71"/>
    </row>
    <row r="94" spans="1:13" s="32" customFormat="1" ht="15" customHeight="1" x14ac:dyDescent="0.25">
      <c r="A94" s="285" t="s">
        <v>85</v>
      </c>
      <c r="B94" s="298">
        <f>B95</f>
        <v>0</v>
      </c>
      <c r="C94" s="298">
        <f>C95</f>
        <v>0</v>
      </c>
      <c r="D94" s="299">
        <v>0</v>
      </c>
      <c r="E94" s="24"/>
      <c r="F94" s="28"/>
      <c r="G94" s="28"/>
      <c r="H94" s="28"/>
      <c r="I94" s="61"/>
      <c r="J94" s="71"/>
      <c r="K94" s="71"/>
      <c r="L94" s="41"/>
      <c r="M94" s="71"/>
    </row>
    <row r="95" spans="1:13" s="32" customFormat="1" ht="15" hidden="1" customHeight="1" x14ac:dyDescent="0.25">
      <c r="A95" s="251" t="s">
        <v>99</v>
      </c>
      <c r="B95" s="293">
        <v>0</v>
      </c>
      <c r="C95" s="293">
        <v>0</v>
      </c>
      <c r="D95" s="294">
        <v>0</v>
      </c>
      <c r="E95" s="24"/>
      <c r="F95" s="28"/>
      <c r="G95" s="28"/>
      <c r="H95" s="28"/>
      <c r="I95" s="61"/>
      <c r="J95" s="71"/>
      <c r="K95" s="71"/>
      <c r="L95" s="41"/>
      <c r="M95" s="71"/>
    </row>
    <row r="96" spans="1:13" s="32" customFormat="1" ht="15" x14ac:dyDescent="0.25">
      <c r="A96" s="235" t="s">
        <v>107</v>
      </c>
      <c r="B96" s="291">
        <f>B97+B98</f>
        <v>615238</v>
      </c>
      <c r="C96" s="291">
        <f>C97+C98</f>
        <v>629234</v>
      </c>
      <c r="D96" s="292">
        <f>(C96/B96)*100</f>
        <v>102.27489199301733</v>
      </c>
      <c r="E96" s="236"/>
      <c r="F96" s="24"/>
      <c r="G96" s="24"/>
      <c r="H96" s="187"/>
      <c r="I96" s="61"/>
      <c r="J96" s="71"/>
      <c r="K96" s="71"/>
      <c r="L96" s="41"/>
      <c r="M96" s="71"/>
    </row>
    <row r="97" spans="1:13" s="32" customFormat="1" ht="14.25" x14ac:dyDescent="0.2">
      <c r="A97" s="25" t="s">
        <v>99</v>
      </c>
      <c r="B97" s="27">
        <v>53161</v>
      </c>
      <c r="C97" s="27">
        <v>68271</v>
      </c>
      <c r="D97" s="232">
        <f>(C97/B97)*100</f>
        <v>128.42309211640114</v>
      </c>
      <c r="E97" s="28"/>
      <c r="F97" s="28"/>
      <c r="G97" s="28"/>
      <c r="H97" s="187"/>
      <c r="I97" s="51"/>
      <c r="J97" s="71"/>
      <c r="K97" s="246"/>
      <c r="L97" s="41"/>
      <c r="M97" s="71"/>
    </row>
    <row r="98" spans="1:13" s="32" customFormat="1" ht="14.25" x14ac:dyDescent="0.2">
      <c r="A98" s="251" t="s">
        <v>97</v>
      </c>
      <c r="B98" s="293">
        <v>562077</v>
      </c>
      <c r="C98" s="293">
        <v>560963</v>
      </c>
      <c r="D98" s="294">
        <f>(C98/B98)*100</f>
        <v>99.801806514054121</v>
      </c>
      <c r="E98" s="28"/>
      <c r="F98" s="28"/>
      <c r="G98" s="28"/>
      <c r="H98" s="187"/>
      <c r="I98" s="51"/>
      <c r="J98" s="71"/>
      <c r="K98" s="247"/>
      <c r="L98" s="41"/>
      <c r="M98" s="71"/>
    </row>
    <row r="99" spans="1:13" s="32" customFormat="1" ht="14.25" hidden="1" x14ac:dyDescent="0.2">
      <c r="A99" s="308" t="s">
        <v>98</v>
      </c>
      <c r="B99" s="293">
        <v>0</v>
      </c>
      <c r="C99" s="293">
        <v>0</v>
      </c>
      <c r="D99" s="294">
        <v>0</v>
      </c>
      <c r="E99" s="28"/>
      <c r="F99" s="28"/>
      <c r="G99" s="28"/>
      <c r="H99" s="187"/>
      <c r="I99" s="51"/>
      <c r="J99" s="71"/>
      <c r="K99" s="247"/>
      <c r="L99" s="41"/>
      <c r="M99" s="71"/>
    </row>
    <row r="100" spans="1:13" s="32" customFormat="1" ht="15" customHeight="1" x14ac:dyDescent="0.25">
      <c r="A100" s="248" t="s">
        <v>108</v>
      </c>
      <c r="B100" s="295">
        <f>B101+B102+B103</f>
        <v>124544</v>
      </c>
      <c r="C100" s="295">
        <f>C101+C102+C103</f>
        <v>394267</v>
      </c>
      <c r="D100" s="296">
        <f>(C100/B100)*100</f>
        <v>316.56844167523121</v>
      </c>
      <c r="E100" s="28"/>
      <c r="F100" s="28"/>
      <c r="G100" s="28"/>
      <c r="H100" s="41"/>
      <c r="I100" s="51"/>
      <c r="J100" s="71"/>
      <c r="K100" s="43"/>
      <c r="L100" s="41"/>
      <c r="M100" s="71"/>
    </row>
    <row r="101" spans="1:13" s="32" customFormat="1" ht="14.25" x14ac:dyDescent="0.2">
      <c r="A101" s="25" t="s">
        <v>99</v>
      </c>
      <c r="B101" s="27">
        <v>64454</v>
      </c>
      <c r="C101" s="27">
        <v>305852</v>
      </c>
      <c r="D101" s="232">
        <f>(C101/B101)*100</f>
        <v>474.52757004995811</v>
      </c>
      <c r="E101" s="28"/>
      <c r="F101" s="28"/>
      <c r="G101" s="28"/>
      <c r="H101" s="187"/>
      <c r="I101" s="51"/>
      <c r="J101" s="71"/>
      <c r="K101" s="246"/>
      <c r="L101" s="41"/>
      <c r="M101" s="71"/>
    </row>
    <row r="102" spans="1:13" s="32" customFormat="1" ht="14.25" x14ac:dyDescent="0.2">
      <c r="A102" s="25" t="s">
        <v>97</v>
      </c>
      <c r="B102" s="27">
        <v>28000</v>
      </c>
      <c r="C102" s="27">
        <v>39000</v>
      </c>
      <c r="D102" s="232">
        <f>(C102/B102)*100</f>
        <v>139.28571428571428</v>
      </c>
      <c r="E102" s="28"/>
      <c r="F102" s="28"/>
      <c r="G102" s="28"/>
      <c r="H102" s="50"/>
      <c r="I102" s="51"/>
      <c r="J102" s="71"/>
      <c r="K102" s="247"/>
      <c r="L102" s="41"/>
      <c r="M102" s="71"/>
    </row>
    <row r="103" spans="1:13" s="32" customFormat="1" ht="14.25" x14ac:dyDescent="0.2">
      <c r="A103" s="234" t="s">
        <v>102</v>
      </c>
      <c r="B103" s="293">
        <v>32090</v>
      </c>
      <c r="C103" s="293">
        <v>49415</v>
      </c>
      <c r="D103" s="294">
        <f t="shared" ref="D103:D111" si="14">(C103/B103)*100</f>
        <v>153.98878155188532</v>
      </c>
      <c r="E103" s="28"/>
      <c r="F103" s="28"/>
      <c r="G103" s="28"/>
      <c r="H103" s="28"/>
      <c r="I103" s="51"/>
      <c r="J103" s="71"/>
      <c r="K103" s="43"/>
      <c r="L103" s="41"/>
      <c r="M103" s="71"/>
    </row>
    <row r="104" spans="1:13" s="32" customFormat="1" ht="15" x14ac:dyDescent="0.25">
      <c r="A104" s="235" t="s">
        <v>86</v>
      </c>
      <c r="B104" s="295">
        <f>B105</f>
        <v>577</v>
      </c>
      <c r="C104" s="295">
        <f>C105</f>
        <v>577</v>
      </c>
      <c r="D104" s="292">
        <f t="shared" si="14"/>
        <v>100</v>
      </c>
      <c r="E104" s="28"/>
      <c r="F104" s="28"/>
      <c r="G104" s="28"/>
      <c r="H104" s="41"/>
      <c r="I104" s="51"/>
      <c r="J104" s="71"/>
      <c r="K104" s="43"/>
      <c r="L104" s="41"/>
      <c r="M104" s="71"/>
    </row>
    <row r="105" spans="1:13" s="32" customFormat="1" ht="14.25" customHeight="1" x14ac:dyDescent="0.2">
      <c r="A105" s="251" t="s">
        <v>99</v>
      </c>
      <c r="B105" s="293">
        <v>577</v>
      </c>
      <c r="C105" s="293">
        <v>577</v>
      </c>
      <c r="D105" s="300">
        <f t="shared" si="14"/>
        <v>100</v>
      </c>
      <c r="E105" s="28"/>
      <c r="F105" s="28"/>
      <c r="G105" s="28"/>
      <c r="H105" s="41"/>
      <c r="I105" s="51"/>
      <c r="J105" s="71"/>
      <c r="K105" s="43"/>
      <c r="L105" s="41"/>
      <c r="M105" s="71"/>
    </row>
    <row r="106" spans="1:13" s="32" customFormat="1" ht="15" x14ac:dyDescent="0.25">
      <c r="A106" s="245" t="s">
        <v>119</v>
      </c>
      <c r="B106" s="295">
        <f>SUM(B107:B109)</f>
        <v>1079983</v>
      </c>
      <c r="C106" s="295">
        <f>SUM(C107:C109)</f>
        <v>1926709</v>
      </c>
      <c r="D106" s="296">
        <f t="shared" si="14"/>
        <v>178.40178965780015</v>
      </c>
      <c r="E106" s="24"/>
      <c r="F106" s="24"/>
      <c r="G106" s="24"/>
      <c r="H106" s="187"/>
      <c r="I106" s="61"/>
      <c r="J106" s="71"/>
      <c r="K106" s="71"/>
      <c r="L106" s="41"/>
      <c r="M106" s="71"/>
    </row>
    <row r="107" spans="1:13" s="32" customFormat="1" ht="14.25" x14ac:dyDescent="0.2">
      <c r="A107" s="25" t="s">
        <v>99</v>
      </c>
      <c r="B107" s="27">
        <v>75184</v>
      </c>
      <c r="C107" s="27">
        <v>264626</v>
      </c>
      <c r="D107" s="232">
        <f t="shared" si="14"/>
        <v>351.9711640774633</v>
      </c>
      <c r="E107" s="28"/>
      <c r="F107" s="28"/>
      <c r="G107" s="28"/>
      <c r="H107" s="187"/>
      <c r="I107" s="51"/>
      <c r="J107" s="71"/>
      <c r="K107" s="71"/>
      <c r="L107" s="41"/>
      <c r="M107" s="71"/>
    </row>
    <row r="108" spans="1:13" s="32" customFormat="1" ht="14.25" x14ac:dyDescent="0.2">
      <c r="A108" s="25" t="s">
        <v>97</v>
      </c>
      <c r="B108" s="27">
        <v>1004799</v>
      </c>
      <c r="C108" s="27">
        <v>1260865</v>
      </c>
      <c r="D108" s="232">
        <f t="shared" si="14"/>
        <v>125.48430084026757</v>
      </c>
      <c r="E108" s="28"/>
      <c r="F108" s="28"/>
      <c r="G108" s="28"/>
      <c r="H108" s="187"/>
      <c r="I108" s="51"/>
      <c r="J108" s="71"/>
      <c r="K108" s="71"/>
      <c r="L108" s="41"/>
      <c r="M108" s="71"/>
    </row>
    <row r="109" spans="1:13" s="32" customFormat="1" ht="14.25" x14ac:dyDescent="0.2">
      <c r="A109" s="233" t="s">
        <v>98</v>
      </c>
      <c r="B109" s="27">
        <v>0</v>
      </c>
      <c r="C109" s="27">
        <v>401218</v>
      </c>
      <c r="D109" s="294">
        <v>0</v>
      </c>
      <c r="E109" s="28"/>
      <c r="F109" s="28"/>
      <c r="G109" s="28"/>
      <c r="H109" s="187"/>
      <c r="I109" s="51"/>
      <c r="J109" s="71"/>
      <c r="K109" s="71"/>
      <c r="L109" s="41"/>
      <c r="M109" s="71"/>
    </row>
    <row r="110" spans="1:13" s="32" customFormat="1" ht="15" x14ac:dyDescent="0.25">
      <c r="A110" s="261" t="s">
        <v>125</v>
      </c>
      <c r="B110" s="291">
        <f>B111</f>
        <v>15000</v>
      </c>
      <c r="C110" s="291">
        <f>C111</f>
        <v>60013</v>
      </c>
      <c r="D110" s="296">
        <f>(C110/B110)*100</f>
        <v>400.0866666666667</v>
      </c>
      <c r="E110" s="28"/>
      <c r="F110" s="28"/>
      <c r="G110" s="28"/>
      <c r="H110" s="187"/>
      <c r="I110" s="61"/>
      <c r="J110" s="71"/>
      <c r="K110" s="71"/>
      <c r="L110" s="41"/>
      <c r="M110" s="71"/>
    </row>
    <row r="111" spans="1:13" s="32" customFormat="1" ht="14.25" x14ac:dyDescent="0.2">
      <c r="A111" s="25" t="s">
        <v>99</v>
      </c>
      <c r="B111" s="27">
        <v>15000</v>
      </c>
      <c r="C111" s="27">
        <v>60013</v>
      </c>
      <c r="D111" s="300">
        <f t="shared" si="14"/>
        <v>400.0866666666667</v>
      </c>
      <c r="E111" s="28"/>
      <c r="F111" s="28"/>
      <c r="G111" s="28"/>
      <c r="H111" s="187"/>
      <c r="I111" s="51"/>
      <c r="J111" s="71"/>
      <c r="K111" s="71"/>
      <c r="L111" s="41"/>
      <c r="M111" s="71"/>
    </row>
    <row r="112" spans="1:13" s="32" customFormat="1" ht="15" x14ac:dyDescent="0.25">
      <c r="A112" s="261" t="s">
        <v>87</v>
      </c>
      <c r="B112" s="291">
        <f>B113+B114</f>
        <v>34300</v>
      </c>
      <c r="C112" s="291">
        <f>C113+C114</f>
        <v>62016</v>
      </c>
      <c r="D112" s="296">
        <f>(C112/B112)*100</f>
        <v>180.80466472303206</v>
      </c>
      <c r="E112" s="28"/>
      <c r="F112" s="28"/>
      <c r="G112" s="28"/>
      <c r="H112" s="187"/>
      <c r="I112" s="61"/>
      <c r="J112" s="71"/>
      <c r="K112" s="71"/>
      <c r="L112" s="41"/>
      <c r="M112" s="71"/>
    </row>
    <row r="113" spans="1:13" s="32" customFormat="1" ht="14.25" x14ac:dyDescent="0.2">
      <c r="A113" s="25" t="s">
        <v>99</v>
      </c>
      <c r="B113" s="27">
        <v>0</v>
      </c>
      <c r="C113" s="27">
        <v>650</v>
      </c>
      <c r="D113" s="232">
        <v>0</v>
      </c>
      <c r="E113" s="28"/>
      <c r="F113" s="28"/>
      <c r="G113" s="28"/>
      <c r="H113" s="187"/>
      <c r="I113" s="51"/>
      <c r="J113" s="71"/>
      <c r="K113" s="71"/>
      <c r="L113" s="41"/>
      <c r="M113" s="71"/>
    </row>
    <row r="114" spans="1:13" s="32" customFormat="1" ht="14.25" x14ac:dyDescent="0.2">
      <c r="A114" s="234" t="s">
        <v>102</v>
      </c>
      <c r="B114" s="293">
        <v>34300</v>
      </c>
      <c r="C114" s="293">
        <v>61366</v>
      </c>
      <c r="D114" s="294">
        <f t="shared" ref="D114:D118" si="15">(C114/B114)*100</f>
        <v>178.90962099125366</v>
      </c>
      <c r="E114" s="28"/>
      <c r="F114" s="28"/>
      <c r="G114" s="28"/>
      <c r="H114" s="187"/>
      <c r="I114" s="51"/>
      <c r="J114" s="71"/>
      <c r="K114" s="249"/>
      <c r="L114" s="41"/>
      <c r="M114" s="71"/>
    </row>
    <row r="115" spans="1:13" s="32" customFormat="1" ht="15" x14ac:dyDescent="0.25">
      <c r="A115" s="250" t="s">
        <v>88</v>
      </c>
      <c r="B115" s="295">
        <f>B116</f>
        <v>13417</v>
      </c>
      <c r="C115" s="295">
        <f>C116</f>
        <v>21190</v>
      </c>
      <c r="D115" s="296">
        <f t="shared" si="15"/>
        <v>157.93396437355594</v>
      </c>
      <c r="E115" s="28"/>
      <c r="F115" s="28"/>
      <c r="G115" s="28"/>
      <c r="H115" s="187"/>
      <c r="I115" s="61"/>
      <c r="J115" s="40"/>
      <c r="K115" s="71"/>
      <c r="L115" s="41"/>
      <c r="M115" s="71"/>
    </row>
    <row r="116" spans="1:13" s="32" customFormat="1" ht="14.25" x14ac:dyDescent="0.2">
      <c r="A116" s="25" t="s">
        <v>99</v>
      </c>
      <c r="B116" s="27">
        <v>13417</v>
      </c>
      <c r="C116" s="27">
        <v>21190</v>
      </c>
      <c r="D116" s="232">
        <f t="shared" si="15"/>
        <v>157.93396437355594</v>
      </c>
      <c r="E116" s="28"/>
      <c r="F116" s="28"/>
      <c r="G116" s="28"/>
      <c r="H116" s="187"/>
      <c r="I116" s="51"/>
      <c r="J116" s="40"/>
      <c r="K116" s="41"/>
      <c r="L116" s="41"/>
      <c r="M116" s="71"/>
    </row>
    <row r="117" spans="1:13" s="15" customFormat="1" ht="21.75" customHeight="1" x14ac:dyDescent="0.25">
      <c r="A117" s="287" t="s">
        <v>19</v>
      </c>
      <c r="B117" s="80">
        <f>B115+B112+B106+B104+B100+B96+B94+B85+B77+B65+B57+B48+B43+B39+B35+B32+B29+B26+B18+B22+B110+B93</f>
        <v>8477670</v>
      </c>
      <c r="C117" s="80">
        <f>C115+C112+C106+C104+C100+C96+C94+C85+C77+C65+C57+C48+C43+C39+C35+C32+C29+C26+C18+C22+C93</f>
        <v>48306881</v>
      </c>
      <c r="D117" s="77">
        <f t="shared" si="15"/>
        <v>569.81317980058202</v>
      </c>
      <c r="E117" s="119"/>
      <c r="F117" s="83"/>
      <c r="G117" s="83"/>
      <c r="H117" s="83"/>
      <c r="I117" s="105"/>
      <c r="J117" s="40"/>
      <c r="K117" s="72"/>
      <c r="L117" s="73"/>
      <c r="M117" s="72"/>
    </row>
    <row r="118" spans="1:13" s="15" customFormat="1" ht="21" customHeight="1" x14ac:dyDescent="0.2">
      <c r="A118" s="120" t="s">
        <v>117</v>
      </c>
      <c r="B118" s="27">
        <f>B12</f>
        <v>13236</v>
      </c>
      <c r="C118" s="27">
        <f>19098718+4000000</f>
        <v>23098718</v>
      </c>
      <c r="D118" s="78">
        <f t="shared" si="15"/>
        <v>174514.33967966153</v>
      </c>
      <c r="E118" s="28"/>
      <c r="F118" s="288"/>
      <c r="G118" s="82"/>
      <c r="H118" s="82"/>
      <c r="I118" s="62"/>
      <c r="J118" s="40"/>
      <c r="K118" s="72"/>
      <c r="L118" s="73"/>
      <c r="M118" s="72"/>
    </row>
    <row r="119" spans="1:13" s="15" customFormat="1" ht="18.75" thickBot="1" x14ac:dyDescent="0.3">
      <c r="A119" s="121" t="s">
        <v>82</v>
      </c>
      <c r="B119" s="79">
        <f>B117-B118</f>
        <v>8464434</v>
      </c>
      <c r="C119" s="79">
        <f>C117-C118</f>
        <v>25208163</v>
      </c>
      <c r="D119" s="76">
        <f>(C119/B119)*100</f>
        <v>297.81274211601152</v>
      </c>
      <c r="E119" s="119"/>
      <c r="F119" s="1">
        <f>C119-C13</f>
        <v>-1921194</v>
      </c>
      <c r="G119" s="24"/>
      <c r="H119" s="69"/>
      <c r="I119" s="66"/>
      <c r="J119" s="38"/>
      <c r="K119" s="72"/>
      <c r="L119" s="73"/>
      <c r="M119" s="72"/>
    </row>
    <row r="120" spans="1:13" s="15" customFormat="1" ht="18.75" customHeight="1" thickTop="1" x14ac:dyDescent="0.25">
      <c r="D120" s="118"/>
      <c r="E120" s="24"/>
      <c r="F120" s="1"/>
      <c r="G120" s="24"/>
      <c r="H120" s="69"/>
      <c r="I120" s="66"/>
      <c r="J120" s="38"/>
      <c r="K120" s="72"/>
      <c r="L120" s="73"/>
      <c r="M120" s="72"/>
    </row>
    <row r="121" spans="1:13" x14ac:dyDescent="0.2">
      <c r="B121" s="163"/>
    </row>
    <row r="122" spans="1:13" ht="17.25" thickBot="1" x14ac:dyDescent="0.3">
      <c r="A122" s="273" t="s">
        <v>92</v>
      </c>
      <c r="B122" s="168"/>
      <c r="C122" s="164"/>
      <c r="D122" s="279" t="s">
        <v>0</v>
      </c>
    </row>
    <row r="123" spans="1:13" ht="36" customHeight="1" thickTop="1" thickBot="1" x14ac:dyDescent="0.25">
      <c r="A123" s="258" t="s">
        <v>73</v>
      </c>
      <c r="B123" s="262" t="s">
        <v>127</v>
      </c>
      <c r="C123" s="262" t="s">
        <v>128</v>
      </c>
      <c r="D123" s="259" t="s">
        <v>5</v>
      </c>
      <c r="E123" s="12"/>
    </row>
    <row r="124" spans="1:13" ht="14.25" thickTop="1" thickBot="1" x14ac:dyDescent="0.25">
      <c r="A124" s="268">
        <v>1</v>
      </c>
      <c r="B124" s="255">
        <v>2</v>
      </c>
      <c r="C124" s="255">
        <v>3</v>
      </c>
      <c r="D124" s="256" t="s">
        <v>89</v>
      </c>
      <c r="E124" s="12"/>
    </row>
    <row r="125" spans="1:13" ht="15" hidden="1" thickTop="1" x14ac:dyDescent="0.2">
      <c r="A125" s="280" t="s">
        <v>100</v>
      </c>
      <c r="B125" s="227">
        <v>0</v>
      </c>
      <c r="C125" s="228">
        <v>0</v>
      </c>
      <c r="D125" s="74">
        <v>0</v>
      </c>
      <c r="E125" s="12"/>
    </row>
    <row r="126" spans="1:13" ht="14.25" hidden="1" x14ac:dyDescent="0.2">
      <c r="A126" s="282" t="s">
        <v>103</v>
      </c>
      <c r="B126" s="218"/>
      <c r="C126" s="219"/>
      <c r="D126" s="224">
        <v>0</v>
      </c>
      <c r="E126" s="12"/>
    </row>
    <row r="127" spans="1:13" ht="26.25" thickTop="1" x14ac:dyDescent="0.2">
      <c r="A127" s="281" t="s">
        <v>106</v>
      </c>
      <c r="B127" s="229">
        <v>150000</v>
      </c>
      <c r="C127" s="226">
        <f>-2406603+300000+9091</f>
        <v>-2097512</v>
      </c>
      <c r="D127" s="224">
        <f t="shared" ref="D127:D130" si="16">(C127/B127)*100</f>
        <v>-1398.3413333333333</v>
      </c>
      <c r="E127" s="12"/>
    </row>
    <row r="128" spans="1:13" ht="14.25" x14ac:dyDescent="0.2">
      <c r="A128" s="282" t="s">
        <v>115</v>
      </c>
      <c r="B128" s="229">
        <v>700000</v>
      </c>
      <c r="C128" s="226">
        <v>700000</v>
      </c>
      <c r="D128" s="224">
        <f t="shared" si="16"/>
        <v>100</v>
      </c>
      <c r="E128" s="12"/>
    </row>
    <row r="129" spans="1:6" ht="14.25" hidden="1" x14ac:dyDescent="0.2">
      <c r="A129" s="282" t="s">
        <v>120</v>
      </c>
      <c r="B129" s="229">
        <v>0</v>
      </c>
      <c r="C129" s="226">
        <v>0</v>
      </c>
      <c r="D129" s="224" t="e">
        <f t="shared" si="16"/>
        <v>#DIV/0!</v>
      </c>
      <c r="E129" s="12"/>
    </row>
    <row r="130" spans="1:6" ht="14.25" hidden="1" x14ac:dyDescent="0.2">
      <c r="A130" s="283" t="s">
        <v>116</v>
      </c>
      <c r="B130" s="229">
        <v>0</v>
      </c>
      <c r="C130" s="226">
        <v>0</v>
      </c>
      <c r="D130" s="224" t="e">
        <f t="shared" si="16"/>
        <v>#DIV/0!</v>
      </c>
      <c r="E130" s="12"/>
    </row>
    <row r="131" spans="1:6" ht="14.25" x14ac:dyDescent="0.2">
      <c r="A131" s="283" t="s">
        <v>104</v>
      </c>
      <c r="B131" s="218">
        <v>-58182</v>
      </c>
      <c r="C131" s="219">
        <f>-336991</f>
        <v>-336991</v>
      </c>
      <c r="D131" s="224">
        <f>(C131/B131)*100</f>
        <v>579.20147124540233</v>
      </c>
      <c r="E131" s="12"/>
    </row>
    <row r="132" spans="1:6" ht="14.25" customHeight="1" x14ac:dyDescent="0.2">
      <c r="A132" s="283" t="s">
        <v>105</v>
      </c>
      <c r="B132" s="218">
        <v>-186492</v>
      </c>
      <c r="C132" s="219">
        <v>-186491</v>
      </c>
      <c r="D132" s="224">
        <f>(C132/B132)*100</f>
        <v>99.99946378396929</v>
      </c>
      <c r="E132" s="12"/>
    </row>
    <row r="133" spans="1:6" ht="14.25" customHeight="1" x14ac:dyDescent="0.2">
      <c r="A133" s="284" t="s">
        <v>101</v>
      </c>
      <c r="B133" s="289">
        <v>0</v>
      </c>
      <c r="C133" s="290">
        <v>-200</v>
      </c>
      <c r="D133" s="252">
        <v>0</v>
      </c>
      <c r="E133" s="12"/>
    </row>
    <row r="134" spans="1:6" ht="18.75" thickBot="1" x14ac:dyDescent="0.3">
      <c r="A134" s="225" t="s">
        <v>74</v>
      </c>
      <c r="B134" s="79">
        <f>SUM(B125:B133)</f>
        <v>605326</v>
      </c>
      <c r="C134" s="79">
        <f>SUM(C125:C133)</f>
        <v>-1921194</v>
      </c>
      <c r="D134" s="76">
        <f>(C134/B134)*100</f>
        <v>-317.38170836871376</v>
      </c>
      <c r="E134" s="12"/>
    </row>
    <row r="135" spans="1:6" ht="13.5" thickTop="1" x14ac:dyDescent="0.2">
      <c r="A135" s="216"/>
      <c r="B135" s="217"/>
      <c r="C135" s="217"/>
      <c r="D135" s="12"/>
      <c r="E135" s="12"/>
    </row>
    <row r="136" spans="1:6" ht="15" customHeight="1" x14ac:dyDescent="0.2">
      <c r="A136" s="310" t="s">
        <v>118</v>
      </c>
      <c r="B136" s="310"/>
      <c r="C136" s="310"/>
      <c r="D136" s="310"/>
      <c r="E136" s="12"/>
    </row>
    <row r="137" spans="1:6" ht="21.75" customHeight="1" x14ac:dyDescent="0.2">
      <c r="B137" s="253"/>
      <c r="C137" s="253"/>
    </row>
    <row r="138" spans="1:6" ht="28.5" customHeight="1" x14ac:dyDescent="0.25">
      <c r="A138" s="306" t="s">
        <v>121</v>
      </c>
      <c r="B138" s="307">
        <f>SUM(B13,B125:B130)</f>
        <v>8709108</v>
      </c>
      <c r="C138" s="307">
        <f>SUM(C13,C127:C128,C130)</f>
        <v>25731845</v>
      </c>
      <c r="D138" s="307"/>
      <c r="E138" s="307"/>
      <c r="F138" s="307"/>
    </row>
    <row r="139" spans="1:6" ht="15.75" x14ac:dyDescent="0.25">
      <c r="A139" s="306" t="s">
        <v>122</v>
      </c>
      <c r="B139" s="307">
        <f>B119-B131-B132</f>
        <v>8709108</v>
      </c>
      <c r="C139" s="307">
        <f>C119-C131-C132-C133-C126-C129</f>
        <v>25731845</v>
      </c>
      <c r="D139" s="307"/>
      <c r="E139" s="307"/>
      <c r="F139" s="307"/>
    </row>
    <row r="140" spans="1:6" ht="15.75" x14ac:dyDescent="0.25">
      <c r="A140" s="306" t="s">
        <v>123</v>
      </c>
      <c r="B140" s="307">
        <f>B139-B138</f>
        <v>0</v>
      </c>
      <c r="C140" s="307">
        <f>C139-C138</f>
        <v>0</v>
      </c>
      <c r="D140" s="307"/>
      <c r="E140" s="307"/>
      <c r="F140" s="307"/>
    </row>
  </sheetData>
  <mergeCells count="2">
    <mergeCell ref="A1:D1"/>
    <mergeCell ref="A136:D136"/>
  </mergeCells>
  <phoneticPr fontId="5" type="noConversion"/>
  <pageMargins left="0.98425196850393704" right="0" top="0.98425196850393704" bottom="0.98425196850393704" header="0.51181102362204722" footer="0.51181102362204722"/>
  <pageSetup paperSize="9" scale="64" firstPageNumber="197" orientation="portrait" cellComments="asDisplayed" useFirstPageNumber="1" r:id="rId1"/>
  <headerFooter alignWithMargins="0">
    <oddFooter>&amp;L&amp;"Arial CE,Kurzíva"Zastupitelstvo Olomouckého kraje 16.12.2024
10.1. - Rozpočet OK na rok 2025 - návrh rozpočtu
Příloha č. 6) Očekávané plnění rozpočtu Olomouckého kraje k 31. 12. 2024&amp;R&amp;"Arial CE,Kurzíva"Strana &amp;P (Celkem 205)</oddFooter>
  </headerFooter>
  <rowBreaks count="1" manualBreakCount="1">
    <brk id="73" max="5" man="1"/>
  </rowBreaks>
  <ignoredErrors>
    <ignoredError sqref="B11 B1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11" t="s">
        <v>62</v>
      </c>
      <c r="B1" s="312"/>
      <c r="C1" s="312"/>
      <c r="D1" s="312"/>
      <c r="E1" s="312"/>
      <c r="F1" s="312"/>
      <c r="G1" s="170"/>
      <c r="H1" s="170"/>
      <c r="I1" s="170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5" hidden="1" thickTop="1" x14ac:dyDescent="0.2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5" hidden="1" thickTop="1" x14ac:dyDescent="0.2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5.75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5" hidden="1" thickTop="1" x14ac:dyDescent="0.2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5" hidden="1" thickTop="1" x14ac:dyDescent="0.2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5.75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5" hidden="1" thickTop="1" x14ac:dyDescent="0.2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2.75" x14ac:dyDescent="0.2">
      <c r="A29" s="313"/>
      <c r="B29" s="314"/>
      <c r="C29" s="314"/>
      <c r="D29" s="314"/>
      <c r="E29" s="314"/>
      <c r="F29" s="314"/>
      <c r="G29" s="58"/>
      <c r="H29" s="58"/>
      <c r="I29" s="58"/>
      <c r="J29" s="64"/>
      <c r="K29" s="59"/>
      <c r="L29" s="174"/>
      <c r="N29" s="73"/>
    </row>
    <row r="30" spans="1:14" s="72" customFormat="1" ht="12.75" x14ac:dyDescent="0.2">
      <c r="A30" s="314"/>
      <c r="B30" s="314"/>
      <c r="C30" s="314"/>
      <c r="D30" s="314"/>
      <c r="E30" s="314"/>
      <c r="F30" s="314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idden="1" x14ac:dyDescent="0.2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ht="15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2.75" x14ac:dyDescent="0.2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2.75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">
      <c r="A48" s="315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">
      <c r="A49" s="315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ht="15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24</v>
      </c>
      <c r="C3" s="96" t="s">
        <v>25</v>
      </c>
    </row>
    <row r="4" spans="1:3" x14ac:dyDescent="0.2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30</v>
      </c>
      <c r="C32" s="96" t="s">
        <v>31</v>
      </c>
    </row>
    <row r="33" spans="1:3" x14ac:dyDescent="0.2">
      <c r="A33" s="96" t="s">
        <v>10</v>
      </c>
      <c r="B33" s="96" t="e">
        <f>'Očekávané plnění k 31.12.2024'!#REF!</f>
        <v>#REF!</v>
      </c>
      <c r="C33" s="96" t="e">
        <f>#REF!</f>
        <v>#REF!</v>
      </c>
    </row>
    <row r="34" spans="1:3" x14ac:dyDescent="0.2">
      <c r="A34" s="96" t="s">
        <v>11</v>
      </c>
      <c r="B34" s="96" t="e">
        <f>'Očekávané plnění k 31.12.2024'!#REF!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31.12.2024'!#REF!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0">
        <v>8115</v>
      </c>
    </row>
    <row r="3" spans="1:6" x14ac:dyDescent="0.2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">
      <c r="C4" s="124"/>
      <c r="D4" s="124">
        <v>97035000</v>
      </c>
      <c r="E4" t="s">
        <v>45</v>
      </c>
      <c r="F4" t="s">
        <v>48</v>
      </c>
    </row>
    <row r="5" spans="1:6" x14ac:dyDescent="0.2">
      <c r="C5" s="124"/>
      <c r="D5" s="124">
        <v>23237000</v>
      </c>
      <c r="E5" t="s">
        <v>46</v>
      </c>
      <c r="F5" t="s">
        <v>48</v>
      </c>
    </row>
    <row r="6" spans="1:6" x14ac:dyDescent="0.2">
      <c r="C6" s="124"/>
    </row>
    <row r="8" spans="1:6" x14ac:dyDescent="0.2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">
      <c r="A39" s="126"/>
      <c r="C39" s="132"/>
      <c r="F39" s="124"/>
      <c r="G39" s="124"/>
    </row>
    <row r="40" spans="1:7" x14ac:dyDescent="0.2">
      <c r="A40" s="126"/>
      <c r="C40" s="132"/>
      <c r="F40" s="124"/>
      <c r="G40" s="124"/>
    </row>
    <row r="41" spans="1:7" x14ac:dyDescent="0.2">
      <c r="A41" s="126"/>
      <c r="C41" s="132"/>
      <c r="F41" s="124"/>
      <c r="G41" s="124"/>
    </row>
    <row r="42" spans="1:7" x14ac:dyDescent="0.2">
      <c r="A42" s="126"/>
      <c r="C42" s="132"/>
      <c r="F42" s="124"/>
      <c r="G42" s="124"/>
    </row>
    <row r="43" spans="1:7" x14ac:dyDescent="0.2">
      <c r="A43" s="126"/>
      <c r="C43" s="132"/>
      <c r="F43" s="124"/>
      <c r="G43" s="124"/>
    </row>
    <row r="44" spans="1:7" x14ac:dyDescent="0.2">
      <c r="A44" s="126"/>
      <c r="C44" s="132">
        <f>G30+G33+G34+G37+G38</f>
        <v>707510733.31000006</v>
      </c>
      <c r="F44" s="124"/>
      <c r="G44" s="124"/>
    </row>
    <row r="45" spans="1:7" x14ac:dyDescent="0.2">
      <c r="A45" s="126"/>
      <c r="C45" s="132"/>
      <c r="F45" s="124"/>
      <c r="G45" s="124"/>
    </row>
    <row r="46" spans="1:7" x14ac:dyDescent="0.2">
      <c r="A46" s="126"/>
      <c r="C46" s="124"/>
      <c r="F46" s="124"/>
      <c r="G46" s="124"/>
    </row>
    <row r="47" spans="1:7" x14ac:dyDescent="0.2">
      <c r="A47" s="126"/>
      <c r="C47" s="124"/>
      <c r="F47" s="124"/>
      <c r="G47" s="124"/>
    </row>
    <row r="48" spans="1:7" x14ac:dyDescent="0.2">
      <c r="A48" s="123"/>
      <c r="C48" s="127">
        <f>C3+C44</f>
        <v>868924733.31000006</v>
      </c>
      <c r="G48" s="124"/>
    </row>
    <row r="49" spans="3:7" x14ac:dyDescent="0.2">
      <c r="C49" s="124"/>
      <c r="G49" s="124"/>
    </row>
    <row r="50" spans="3:7" x14ac:dyDescent="0.2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25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16">
        <v>1</v>
      </c>
      <c r="B6" s="317"/>
      <c r="C6" s="317"/>
      <c r="D6" s="318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5" thickTop="1" x14ac:dyDescent="0.25">
      <c r="A7" s="108" t="s">
        <v>21</v>
      </c>
      <c r="B7" s="109"/>
      <c r="C7" s="109"/>
      <c r="D7" s="134"/>
      <c r="E7" s="138" t="e">
        <f>'Očekávané plnění k 31.12.2024'!#REF!</f>
        <v>#REF!</v>
      </c>
      <c r="F7" s="138" t="e">
        <f>'Očekávané plnění k 31.12.2024'!#REF!</f>
        <v>#REF!</v>
      </c>
      <c r="G7" s="138" t="e">
        <f>'Očekávané plnění k 31.12.2024'!#REF!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25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16">
        <v>1</v>
      </c>
      <c r="B40" s="317"/>
      <c r="C40" s="317"/>
      <c r="D40" s="318"/>
      <c r="E40" s="145">
        <v>2</v>
      </c>
      <c r="F40" s="145">
        <v>3</v>
      </c>
      <c r="G40" s="145">
        <v>4</v>
      </c>
      <c r="H40" s="146" t="s">
        <v>6</v>
      </c>
    </row>
    <row r="41" spans="1:8" ht="20.25" thickTop="1" x14ac:dyDescent="0.4">
      <c r="A41" s="99" t="s">
        <v>27</v>
      </c>
      <c r="B41" s="100"/>
      <c r="C41" s="100"/>
      <c r="D41" s="101"/>
      <c r="E41" s="148" t="e">
        <f>'Očekávané plnění k 31.12.2024'!#REF!</f>
        <v>#REF!</v>
      </c>
      <c r="F41" s="148" t="e">
        <f>'Očekávané plnění k 31.12.2024'!#REF!</f>
        <v>#REF!</v>
      </c>
      <c r="G41" s="148" t="e">
        <f>'Očekávané plnění k 31.12.2024'!#REF!</f>
        <v>#REF!</v>
      </c>
      <c r="H41" s="151" t="e">
        <f>(G41/F41)*100</f>
        <v>#REF!</v>
      </c>
    </row>
    <row r="42" spans="1:8" ht="19.5" x14ac:dyDescent="0.4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4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31.12.2024</vt:lpstr>
      <vt:lpstr>Výdaje (2)</vt:lpstr>
      <vt:lpstr>List2</vt:lpstr>
      <vt:lpstr>8115-zap.zůst.k 31.12.2011</vt:lpstr>
      <vt:lpstr>Rekapitulace (2)</vt:lpstr>
      <vt:lpstr>List4</vt:lpstr>
      <vt:lpstr>'Očekávané plnění k 31.12.2024'!Oblast_tisku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Vítková Petra</cp:lastModifiedBy>
  <cp:lastPrinted>2024-11-25T13:39:29Z</cp:lastPrinted>
  <dcterms:created xsi:type="dcterms:W3CDTF">2010-11-26T09:05:32Z</dcterms:created>
  <dcterms:modified xsi:type="dcterms:W3CDTF">2024-11-25T13:39:33Z</dcterms:modified>
</cp:coreProperties>
</file>