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OdRF\Rozpočet Olomouckého kraje\2025\ZOK 16.12.2024\"/>
    </mc:Choice>
  </mc:AlternateContent>
  <xr:revisionPtr revIDLastSave="0" documentId="13_ncr:1_{3DBD8B48-0888-4E55-BD82-E35C178E78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" sheetId="1" r:id="rId1"/>
    <sheet name="Souhrn dle oblastí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'Souhrn '!$A$1:$H$20</definedName>
    <definedName name="_xlnm.Print_Area" localSheetId="1">'Souhrn dle oblastí'!$A$1:$H$65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J63" i="2" l="1"/>
  <c r="G58" i="2"/>
  <c r="J32" i="2"/>
  <c r="G28" i="2"/>
  <c r="C15" i="1"/>
  <c r="G13" i="1" l="1"/>
  <c r="G12" i="1"/>
  <c r="D13" i="1"/>
  <c r="D12" i="1"/>
  <c r="G11" i="1" l="1"/>
  <c r="D11" i="1"/>
  <c r="D15" i="1" s="1"/>
  <c r="G10" i="1" l="1"/>
  <c r="G9" i="1" l="1"/>
  <c r="G8" i="1"/>
  <c r="E9" i="1"/>
  <c r="E8" i="1"/>
  <c r="G7" i="1" l="1"/>
  <c r="G6" i="1"/>
  <c r="F6" i="1"/>
  <c r="F15" i="1" s="1"/>
  <c r="G5" i="1"/>
  <c r="G10" i="2"/>
  <c r="G20" i="2"/>
  <c r="J22" i="2"/>
  <c r="J67" i="2" s="1"/>
  <c r="G18" i="2"/>
  <c r="J12" i="2"/>
  <c r="G15" i="1" l="1"/>
  <c r="I15" i="1" s="1"/>
  <c r="H6" i="1"/>
  <c r="J42" i="2"/>
  <c r="E79" i="2" l="1"/>
  <c r="F7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E74" i="2"/>
  <c r="F74" i="2"/>
  <c r="G74" i="2"/>
  <c r="E75" i="2"/>
  <c r="F75" i="2"/>
  <c r="G75" i="2"/>
  <c r="E76" i="2"/>
  <c r="F76" i="2"/>
  <c r="G76" i="2"/>
  <c r="H76" i="2"/>
  <c r="E77" i="2"/>
  <c r="F77" i="2"/>
  <c r="G77" i="2"/>
  <c r="H77" i="2"/>
  <c r="E78" i="2"/>
  <c r="F78" i="2"/>
  <c r="G78" i="2"/>
  <c r="H78" i="2"/>
  <c r="D78" i="2"/>
  <c r="D77" i="2"/>
  <c r="D75" i="2"/>
  <c r="D79" i="2" s="1"/>
  <c r="D74" i="2"/>
  <c r="D73" i="2"/>
  <c r="D72" i="2"/>
  <c r="D71" i="2"/>
  <c r="D70" i="2"/>
  <c r="D76" i="2"/>
  <c r="E69" i="2"/>
  <c r="F69" i="2"/>
  <c r="G69" i="2"/>
  <c r="H69" i="2"/>
  <c r="D69" i="2"/>
  <c r="J52" i="2"/>
  <c r="G79" i="2" l="1"/>
  <c r="G17" i="2"/>
  <c r="G61" i="2" l="1"/>
  <c r="D61" i="2"/>
  <c r="D51" i="2"/>
  <c r="G51" i="2"/>
  <c r="G48" i="2"/>
  <c r="G45" i="2"/>
  <c r="G41" i="2"/>
  <c r="G31" i="2"/>
  <c r="G11" i="2"/>
  <c r="D11" i="2"/>
  <c r="G8" i="2"/>
  <c r="G7" i="2"/>
  <c r="H51" i="2" l="1"/>
  <c r="D43" i="2"/>
  <c r="H31" i="2"/>
  <c r="D60" i="2"/>
  <c r="G60" i="2"/>
  <c r="F53" i="2"/>
  <c r="E53" i="2"/>
  <c r="E43" i="2"/>
  <c r="G33" i="2"/>
  <c r="F33" i="2"/>
  <c r="E33" i="2"/>
  <c r="D33" i="2"/>
  <c r="D23" i="2"/>
  <c r="F23" i="2"/>
  <c r="E23" i="2"/>
  <c r="F13" i="2"/>
  <c r="E13" i="2"/>
  <c r="D13" i="2"/>
  <c r="H58" i="2"/>
  <c r="F43" i="2"/>
  <c r="H38" i="2"/>
  <c r="H28" i="2"/>
  <c r="H18" i="2"/>
  <c r="H17" i="2"/>
  <c r="H45" i="2"/>
  <c r="H63" i="2"/>
  <c r="H62" i="2"/>
  <c r="H61" i="2"/>
  <c r="H59" i="2"/>
  <c r="H57" i="2"/>
  <c r="H56" i="2"/>
  <c r="H55" i="2"/>
  <c r="H54" i="2"/>
  <c r="H52" i="2"/>
  <c r="H50" i="2"/>
  <c r="H49" i="2"/>
  <c r="H47" i="2"/>
  <c r="H46" i="2"/>
  <c r="H44" i="2"/>
  <c r="H42" i="2"/>
  <c r="H40" i="2"/>
  <c r="H39" i="2"/>
  <c r="H74" i="2" s="1"/>
  <c r="H37" i="2"/>
  <c r="H36" i="2"/>
  <c r="H35" i="2"/>
  <c r="H34" i="2"/>
  <c r="H32" i="2"/>
  <c r="H30" i="2"/>
  <c r="H29" i="2"/>
  <c r="H27" i="2"/>
  <c r="H26" i="2"/>
  <c r="H25" i="2"/>
  <c r="H24" i="2"/>
  <c r="H16" i="2"/>
  <c r="H22" i="2"/>
  <c r="H21" i="2"/>
  <c r="H20" i="2"/>
  <c r="H19" i="2"/>
  <c r="H15" i="2"/>
  <c r="H14" i="2"/>
  <c r="H11" i="2"/>
  <c r="H10" i="2"/>
  <c r="H8" i="2"/>
  <c r="H7" i="2"/>
  <c r="H12" i="2"/>
  <c r="H9" i="2"/>
  <c r="H6" i="2"/>
  <c r="H5" i="2"/>
  <c r="H4" i="2"/>
  <c r="F3" i="2"/>
  <c r="E3" i="2"/>
  <c r="H73" i="2" l="1"/>
  <c r="H75" i="2"/>
  <c r="H79" i="2" s="1"/>
  <c r="F65" i="2"/>
  <c r="H23" i="2"/>
  <c r="H48" i="2"/>
  <c r="H43" i="2" s="1"/>
  <c r="G13" i="2"/>
  <c r="G53" i="2"/>
  <c r="D53" i="2"/>
  <c r="G43" i="2"/>
  <c r="H41" i="2"/>
  <c r="H33" i="2" s="1"/>
  <c r="G23" i="2"/>
  <c r="H13" i="2"/>
  <c r="H60" i="2"/>
  <c r="H53" i="2" s="1"/>
  <c r="E65" i="2"/>
  <c r="D3" i="2"/>
  <c r="D65" i="2" s="1"/>
  <c r="G3" i="2"/>
  <c r="G65" i="2" l="1"/>
  <c r="H11" i="1" l="1"/>
  <c r="E15" i="1"/>
  <c r="F24" i="1" l="1"/>
  <c r="E24" i="1"/>
  <c r="E25" i="1" l="1"/>
  <c r="E26" i="1" s="1"/>
  <c r="C25" i="1" l="1"/>
  <c r="C24" i="1"/>
  <c r="H7" i="1"/>
  <c r="F25" i="1"/>
  <c r="F26" i="1" s="1"/>
  <c r="C26" i="1" l="1"/>
  <c r="H8" i="1" l="1"/>
  <c r="H10" i="1" l="1"/>
  <c r="H9" i="1" l="1"/>
  <c r="H14" i="1" l="1"/>
  <c r="H5" i="1"/>
  <c r="H3" i="2" l="1"/>
  <c r="H65" i="2" s="1"/>
  <c r="G24" i="1" l="1"/>
  <c r="D24" i="1" l="1"/>
  <c r="H13" i="1"/>
  <c r="H24" i="1" s="1"/>
  <c r="D25" i="1" l="1"/>
  <c r="D26" i="1" s="1"/>
  <c r="H12" i="1" l="1"/>
  <c r="G25" i="1"/>
  <c r="G26" i="1" s="1"/>
  <c r="H15" i="1" l="1"/>
  <c r="H17" i="1" s="1"/>
  <c r="H25" i="1"/>
  <c r="H26" i="1" s="1"/>
  <c r="I16" i="1" l="1"/>
  <c r="J68" i="2"/>
  <c r="J69" i="2" s="1"/>
</calcChain>
</file>

<file path=xl/sharedStrings.xml><?xml version="1.0" encoding="utf-8"?>
<sst xmlns="http://schemas.openxmlformats.org/spreadsheetml/2006/main" count="171" uniqueCount="51">
  <si>
    <t>v tis. Kč</t>
  </si>
  <si>
    <t>Předfinancování - úvěr</t>
  </si>
  <si>
    <t>Předfinancování - rozpočet OK</t>
  </si>
  <si>
    <t>IF PO</t>
  </si>
  <si>
    <t>Nájemné SMN</t>
  </si>
  <si>
    <t>Požadavky na rozpočet OK</t>
  </si>
  <si>
    <t>CELKEM</t>
  </si>
  <si>
    <t xml:space="preserve">Příloha </t>
  </si>
  <si>
    <t>nákupy</t>
  </si>
  <si>
    <t>rozpracované opravy</t>
  </si>
  <si>
    <t>rozpracované investice</t>
  </si>
  <si>
    <t>nové opravy</t>
  </si>
  <si>
    <t>nové investice</t>
  </si>
  <si>
    <t>projekty - neinvestiční</t>
  </si>
  <si>
    <t>projekty - investiční</t>
  </si>
  <si>
    <t xml:space="preserve">a) </t>
  </si>
  <si>
    <t xml:space="preserve">b) </t>
  </si>
  <si>
    <t>c)</t>
  </si>
  <si>
    <t xml:space="preserve">d) </t>
  </si>
  <si>
    <t>e)</t>
  </si>
  <si>
    <t>g)</t>
  </si>
  <si>
    <t>Energetika</t>
  </si>
  <si>
    <t>Oblast školství</t>
  </si>
  <si>
    <t>Oblast sociální</t>
  </si>
  <si>
    <t>Oblast dopravy</t>
  </si>
  <si>
    <t>Oblast kultury</t>
  </si>
  <si>
    <t>Oblast zdravotnictví</t>
  </si>
  <si>
    <t>Oblast ostatní</t>
  </si>
  <si>
    <t>Rozpracované opravy</t>
  </si>
  <si>
    <t>Rozpracované investice</t>
  </si>
  <si>
    <t>Nové opravy</t>
  </si>
  <si>
    <t>Nové investice</t>
  </si>
  <si>
    <t>Nákupy</t>
  </si>
  <si>
    <t>Celkové náklady v roce 2025</t>
  </si>
  <si>
    <t>b)</t>
  </si>
  <si>
    <t>Dotační projekty - neinvestiční</t>
  </si>
  <si>
    <t>Dotační projekty - investiční</t>
  </si>
  <si>
    <t>Návrh rozpočtu Olomouckého kraje na rok 2025</t>
  </si>
  <si>
    <t xml:space="preserve">Příloha č. 5 - Opravy, investice, nákupy a dotační projekty </t>
  </si>
  <si>
    <t>Nemovitý majetek (novostavba) a movitý majetek pořízený v rámci investičních akcí uvedených v Příloze 5 se svěřuje příslušné příspěvkové organizaci do hospodaření, a to ke dni aktivace předmětného majetku.</t>
  </si>
  <si>
    <t>IF PO, RF a ostatní zdroje</t>
  </si>
  <si>
    <t>Dotační projekty - program Energetika</t>
  </si>
  <si>
    <t>Rozpracované investice - program Energetika</t>
  </si>
  <si>
    <t>program Energetika</t>
  </si>
  <si>
    <t>Ostatní</t>
  </si>
  <si>
    <t>a)</t>
  </si>
  <si>
    <t>rozpracované investice - Energetika</t>
  </si>
  <si>
    <t>projekty - investiční - Energetika</t>
  </si>
  <si>
    <t>ROK 2024</t>
  </si>
  <si>
    <t>celkem z rozpočtu OK</t>
  </si>
  <si>
    <t>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</si>
</sst>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1" applyFont="1"/>
    <xf numFmtId="0" fontId="1" fillId="0" borderId="0" xfId="1"/>
    <xf numFmtId="3" fontId="3" fillId="0" borderId="2" xfId="1" applyNumberFormat="1" applyFont="1" applyBorder="1"/>
    <xf numFmtId="0" fontId="1" fillId="2" borderId="0" xfId="1" applyFill="1" applyBorder="1"/>
    <xf numFmtId="0" fontId="4" fillId="0" borderId="4" xfId="1" applyFont="1" applyFill="1" applyBorder="1"/>
    <xf numFmtId="0" fontId="4" fillId="0" borderId="5" xfId="1" applyFont="1" applyFill="1" applyBorder="1"/>
    <xf numFmtId="3" fontId="4" fillId="0" borderId="5" xfId="1" applyNumberFormat="1" applyFont="1" applyFill="1" applyBorder="1"/>
    <xf numFmtId="0" fontId="1" fillId="0" borderId="0" xfId="1" applyFill="1"/>
    <xf numFmtId="0" fontId="4" fillId="0" borderId="6" xfId="1" applyFont="1" applyFill="1" applyBorder="1"/>
    <xf numFmtId="3" fontId="4" fillId="0" borderId="7" xfId="1" applyNumberFormat="1" applyFont="1" applyFill="1" applyBorder="1"/>
    <xf numFmtId="0" fontId="5" fillId="0" borderId="0" xfId="1" applyFont="1" applyAlignment="1">
      <alignment horizontal="right"/>
    </xf>
    <xf numFmtId="4" fontId="5" fillId="0" borderId="0" xfId="1" applyNumberFormat="1" applyFont="1"/>
    <xf numFmtId="3" fontId="1" fillId="0" borderId="0" xfId="1" applyNumberFormat="1"/>
    <xf numFmtId="3" fontId="4" fillId="3" borderId="5" xfId="1" applyNumberFormat="1" applyFont="1" applyFill="1" applyBorder="1"/>
    <xf numFmtId="3" fontId="4" fillId="3" borderId="7" xfId="1" applyNumberFormat="1" applyFont="1" applyFill="1" applyBorder="1"/>
    <xf numFmtId="3" fontId="3" fillId="3" borderId="2" xfId="1" applyNumberFormat="1" applyFont="1" applyFill="1" applyBorder="1"/>
    <xf numFmtId="0" fontId="2" fillId="4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4" fontId="1" fillId="0" borderId="0" xfId="1" applyNumberFormat="1"/>
    <xf numFmtId="0" fontId="1" fillId="0" borderId="0" xfId="1" applyFont="1" applyAlignment="1">
      <alignment horizontal="right"/>
    </xf>
    <xf numFmtId="0" fontId="2" fillId="4" borderId="10" xfId="1" applyFont="1" applyFill="1" applyBorder="1" applyAlignment="1">
      <alignment horizontal="center" vertical="center" wrapText="1"/>
    </xf>
    <xf numFmtId="3" fontId="4" fillId="0" borderId="11" xfId="1" applyNumberFormat="1" applyFont="1" applyFill="1" applyBorder="1"/>
    <xf numFmtId="3" fontId="4" fillId="0" borderId="12" xfId="1" applyNumberFormat="1" applyFont="1" applyFill="1" applyBorder="1"/>
    <xf numFmtId="3" fontId="3" fillId="0" borderId="10" xfId="1" applyNumberFormat="1" applyFont="1" applyBorder="1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5" borderId="14" xfId="0" applyFont="1" applyFill="1" applyBorder="1"/>
    <xf numFmtId="0" fontId="7" fillId="5" borderId="15" xfId="0" applyFont="1" applyFill="1" applyBorder="1"/>
    <xf numFmtId="3" fontId="7" fillId="5" borderId="15" xfId="0" applyNumberFormat="1" applyFont="1" applyFill="1" applyBorder="1"/>
    <xf numFmtId="3" fontId="7" fillId="5" borderId="16" xfId="0" applyNumberFormat="1" applyFont="1" applyFill="1" applyBorder="1"/>
    <xf numFmtId="0" fontId="6" fillId="0" borderId="6" xfId="0" applyFont="1" applyBorder="1"/>
    <xf numFmtId="0" fontId="6" fillId="0" borderId="7" xfId="0" applyFont="1" applyBorder="1"/>
    <xf numFmtId="3" fontId="6" fillId="0" borderId="7" xfId="0" applyNumberFormat="1" applyFont="1" applyBorder="1"/>
    <xf numFmtId="3" fontId="6" fillId="0" borderId="17" xfId="0" applyNumberFormat="1" applyFont="1" applyBorder="1"/>
    <xf numFmtId="0" fontId="6" fillId="0" borderId="18" xfId="0" applyFont="1" applyBorder="1"/>
    <xf numFmtId="0" fontId="6" fillId="0" borderId="19" xfId="0" applyFont="1" applyBorder="1"/>
    <xf numFmtId="3" fontId="6" fillId="0" borderId="19" xfId="0" applyNumberFormat="1" applyFont="1" applyBorder="1"/>
    <xf numFmtId="3" fontId="6" fillId="0" borderId="20" xfId="0" applyNumberFormat="1" applyFont="1" applyBorder="1"/>
    <xf numFmtId="0" fontId="7" fillId="6" borderId="14" xfId="0" applyFont="1" applyFill="1" applyBorder="1"/>
    <xf numFmtId="0" fontId="7" fillId="6" borderId="15" xfId="0" applyFont="1" applyFill="1" applyBorder="1"/>
    <xf numFmtId="3" fontId="7" fillId="6" borderId="15" xfId="0" applyNumberFormat="1" applyFont="1" applyFill="1" applyBorder="1"/>
    <xf numFmtId="3" fontId="7" fillId="6" borderId="16" xfId="0" applyNumberFormat="1" applyFont="1" applyFill="1" applyBorder="1"/>
    <xf numFmtId="0" fontId="7" fillId="7" borderId="14" xfId="0" applyFont="1" applyFill="1" applyBorder="1"/>
    <xf numFmtId="0" fontId="7" fillId="7" borderId="15" xfId="0" applyFont="1" applyFill="1" applyBorder="1"/>
    <xf numFmtId="3" fontId="7" fillId="7" borderId="15" xfId="0" applyNumberFormat="1" applyFont="1" applyFill="1" applyBorder="1"/>
    <xf numFmtId="3" fontId="7" fillId="7" borderId="16" xfId="0" applyNumberFormat="1" applyFont="1" applyFill="1" applyBorder="1"/>
    <xf numFmtId="0" fontId="7" fillId="8" borderId="14" xfId="0" applyFont="1" applyFill="1" applyBorder="1"/>
    <xf numFmtId="0" fontId="7" fillId="8" borderId="15" xfId="0" applyFont="1" applyFill="1" applyBorder="1"/>
    <xf numFmtId="3" fontId="7" fillId="8" borderId="15" xfId="0" applyNumberFormat="1" applyFont="1" applyFill="1" applyBorder="1"/>
    <xf numFmtId="3" fontId="7" fillId="8" borderId="16" xfId="0" applyNumberFormat="1" applyFont="1" applyFill="1" applyBorder="1"/>
    <xf numFmtId="0" fontId="7" fillId="0" borderId="0" xfId="0" applyFont="1"/>
    <xf numFmtId="0" fontId="7" fillId="9" borderId="14" xfId="0" applyFont="1" applyFill="1" applyBorder="1"/>
    <xf numFmtId="0" fontId="7" fillId="9" borderId="15" xfId="0" applyFont="1" applyFill="1" applyBorder="1"/>
    <xf numFmtId="3" fontId="7" fillId="9" borderId="15" xfId="0" applyNumberFormat="1" applyFont="1" applyFill="1" applyBorder="1"/>
    <xf numFmtId="3" fontId="7" fillId="9" borderId="16" xfId="0" applyNumberFormat="1" applyFont="1" applyFill="1" applyBorder="1"/>
    <xf numFmtId="0" fontId="7" fillId="3" borderId="14" xfId="0" applyFont="1" applyFill="1" applyBorder="1"/>
    <xf numFmtId="0" fontId="7" fillId="3" borderId="15" xfId="0" applyFont="1" applyFill="1" applyBorder="1"/>
    <xf numFmtId="3" fontId="7" fillId="3" borderId="15" xfId="0" applyNumberFormat="1" applyFont="1" applyFill="1" applyBorder="1"/>
    <xf numFmtId="3" fontId="7" fillId="3" borderId="16" xfId="0" applyNumberFormat="1" applyFont="1" applyFill="1" applyBorder="1"/>
    <xf numFmtId="3" fontId="6" fillId="0" borderId="20" xfId="0" applyNumberFormat="1" applyFont="1" applyFill="1" applyBorder="1"/>
    <xf numFmtId="0" fontId="6" fillId="0" borderId="21" xfId="0" applyFont="1" applyBorder="1"/>
    <xf numFmtId="0" fontId="6" fillId="0" borderId="0" xfId="0" applyFont="1" applyBorder="1"/>
    <xf numFmtId="3" fontId="6" fillId="0" borderId="0" xfId="0" applyNumberFormat="1" applyFont="1" applyBorder="1"/>
    <xf numFmtId="3" fontId="6" fillId="0" borderId="22" xfId="0" applyNumberFormat="1" applyFont="1" applyBorder="1"/>
    <xf numFmtId="0" fontId="8" fillId="0" borderId="1" xfId="0" applyFont="1" applyBorder="1"/>
    <xf numFmtId="0" fontId="9" fillId="0" borderId="2" xfId="0" applyFont="1" applyBorder="1"/>
    <xf numFmtId="3" fontId="9" fillId="0" borderId="2" xfId="0" applyNumberFormat="1" applyFont="1" applyBorder="1"/>
    <xf numFmtId="3" fontId="9" fillId="0" borderId="13" xfId="0" applyNumberFormat="1" applyFont="1" applyBorder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0" xfId="0" applyFont="1"/>
    <xf numFmtId="0" fontId="1" fillId="0" borderId="0" xfId="1" applyAlignment="1">
      <alignment horizontal="right"/>
    </xf>
    <xf numFmtId="3" fontId="6" fillId="0" borderId="0" xfId="0" applyNumberFormat="1" applyFont="1"/>
    <xf numFmtId="3" fontId="8" fillId="0" borderId="0" xfId="0" applyNumberFormat="1" applyFont="1"/>
    <xf numFmtId="3" fontId="6" fillId="0" borderId="7" xfId="0" applyNumberFormat="1" applyFont="1" applyFill="1" applyBorder="1"/>
    <xf numFmtId="3" fontId="6" fillId="0" borderId="19" xfId="0" applyNumberFormat="1" applyFont="1" applyFill="1" applyBorder="1"/>
    <xf numFmtId="3" fontId="11" fillId="6" borderId="7" xfId="0" applyNumberFormat="1" applyFont="1" applyFill="1" applyBorder="1"/>
    <xf numFmtId="3" fontId="3" fillId="0" borderId="24" xfId="1" applyNumberFormat="1" applyFont="1" applyBorder="1"/>
    <xf numFmtId="0" fontId="3" fillId="0" borderId="24" xfId="1" applyFont="1" applyBorder="1" applyAlignment="1">
      <alignment horizontal="righ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4" borderId="8" xfId="2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4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_Požadavky na investice 2005 a plnění 2004-úprava" xfId="2" xr:uid="{00000000-0005-0000-0000-000003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ZOK%2016.12.2024\Usnesen&#237;_p&#345;&#237;loha%20&#269;.%2005a)%20-%20Rozpracovan&#233;%20investice%20a%20opravy.xlsx" TargetMode="External"/><Relationship Id="rId1" Type="http://schemas.openxmlformats.org/officeDocument/2006/relationships/externalLinkPath" Target="Usnesen&#237;_p&#345;&#237;loha%20&#269;.%2005a)%20-%20Rozpracovan&#233;%20investice%20a%20oprav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ZOK%2016.12.2024\Usnesen&#237;_p&#345;&#237;loha%20&#269;.%2005b)%20-%20Nov&#233;%20investice%20a%20opravy.xlsx" TargetMode="External"/><Relationship Id="rId1" Type="http://schemas.openxmlformats.org/officeDocument/2006/relationships/externalLinkPath" Target="Usnesen&#237;_p&#345;&#237;loha%20&#269;.%2005b)%20-%20Nov&#233;%20investice%20a%20oprav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ZOK%2016.12.2024\Usnesen&#237;_p&#345;&#237;loha%20&#269;.%2005c)%20-%20Nov&#233;%20n&#225;kupy.xlsx" TargetMode="External"/><Relationship Id="rId1" Type="http://schemas.openxmlformats.org/officeDocument/2006/relationships/externalLinkPath" Target="Usnesen&#237;_p&#345;&#237;loha%20&#269;.%2005c)%20-%20Nov&#233;%20n&#225;kup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ZOK%2016.12.2024\Usnesen&#237;_p&#345;&#237;loha%20&#269;.%2005d)%20-%20Dota&#269;n&#237;%20projekty%20-%20neinvesti&#269;n&#237;.xlsx" TargetMode="External"/><Relationship Id="rId1" Type="http://schemas.openxmlformats.org/officeDocument/2006/relationships/externalLinkPath" Target="Usnesen&#237;_p&#345;&#237;loha%20&#269;.%2005d)%20-%20Dota&#269;n&#237;%20projekty%20-%20neinvesti&#269;n&#237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ZOK%2016.12.2024\Usnesen&#237;_p&#345;&#237;loha%20&#269;.%2005e)%20-%20Dota&#269;n&#237;%20projekty%20-%20investi&#269;n&#237;.xlsx" TargetMode="External"/><Relationship Id="rId1" Type="http://schemas.openxmlformats.org/officeDocument/2006/relationships/externalLinkPath" Target="Usnesen&#237;_p&#345;&#237;loha%20&#269;.%2005e)%20-%20Dota&#269;n&#237;%20projekty%20-%20investi&#269;n&#237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5\ZOK%2016.12.2024\Usnesen&#237;_p&#345;&#237;loha%20&#269;.%2005f)%20-%20Energetika.xlsx" TargetMode="External"/><Relationship Id="rId1" Type="http://schemas.openxmlformats.org/officeDocument/2006/relationships/externalLinkPath" Target="Usnesen&#237;_p&#345;&#237;loha%20&#269;.%2005f)%20-%20Energeti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RJ 17  školství "/>
      <sheetName val="ORJ 17 sociální "/>
      <sheetName val="ORJ 17 doprava "/>
      <sheetName val="ORJ 17 kultura "/>
      <sheetName val="ORJ 14 zdravotnictví "/>
      <sheetName val="ORJ 17 - zdravotnictví "/>
      <sheetName val="ORJ 17 zdrav. SMN "/>
    </sheetNames>
    <sheetDataSet>
      <sheetData sheetId="0">
        <row r="5">
          <cell r="G5">
            <v>89595</v>
          </cell>
        </row>
        <row r="6">
          <cell r="G6">
            <v>50243</v>
          </cell>
        </row>
        <row r="7">
          <cell r="G7">
            <v>20825</v>
          </cell>
        </row>
        <row r="8">
          <cell r="G8">
            <v>121825</v>
          </cell>
        </row>
        <row r="9">
          <cell r="G9">
            <v>5578</v>
          </cell>
        </row>
        <row r="10">
          <cell r="G10">
            <v>11120</v>
          </cell>
        </row>
        <row r="12">
          <cell r="G12">
            <v>52653</v>
          </cell>
        </row>
        <row r="13">
          <cell r="G13">
            <v>8759</v>
          </cell>
        </row>
        <row r="16">
          <cell r="G16">
            <v>2605</v>
          </cell>
        </row>
        <row r="17">
          <cell r="G17">
            <v>95777</v>
          </cell>
        </row>
        <row r="19">
          <cell r="F19">
            <v>30776</v>
          </cell>
          <cell r="G19">
            <v>11750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RJ 10 - školství - žádanky"/>
      <sheetName val="ORJ 17 - školství - žádanky "/>
      <sheetName val="ORJ 17 školství - nové "/>
      <sheetName val="ORJ 11 - sociální - žádanky"/>
      <sheetName val="ORJ 17 - sociální - žádanky"/>
      <sheetName val="ORJ 12 - doprava"/>
      <sheetName val="ORJ 13 - kultura - žádanky"/>
      <sheetName val="ORJ 14 zdrav - žádanky "/>
      <sheetName val="ORJ 17 zdrav - žádanky"/>
      <sheetName val="Oblast KÚOK - ORJ 03"/>
      <sheetName val="Oblast IT - ORJ 06 "/>
      <sheetName val="Oblast krizového řízení ORJ 18 "/>
    </sheetNames>
    <sheetDataSet>
      <sheetData sheetId="0">
        <row r="5">
          <cell r="E5">
            <v>13200</v>
          </cell>
          <cell r="G5">
            <v>3666</v>
          </cell>
        </row>
        <row r="6">
          <cell r="E6">
            <v>1335</v>
          </cell>
          <cell r="G6">
            <v>9495</v>
          </cell>
        </row>
        <row r="8">
          <cell r="G8">
            <v>6000</v>
          </cell>
        </row>
        <row r="9">
          <cell r="G9">
            <v>41813</v>
          </cell>
        </row>
        <row r="10">
          <cell r="G10">
            <v>8458</v>
          </cell>
        </row>
        <row r="11">
          <cell r="G11">
            <v>22843</v>
          </cell>
        </row>
        <row r="12">
          <cell r="G12">
            <v>12274</v>
          </cell>
        </row>
        <row r="13">
          <cell r="G13">
            <v>7950</v>
          </cell>
        </row>
        <row r="15">
          <cell r="G15">
            <v>756400</v>
          </cell>
        </row>
        <row r="17">
          <cell r="G17">
            <v>7170</v>
          </cell>
        </row>
        <row r="18">
          <cell r="G18">
            <v>4068</v>
          </cell>
        </row>
        <row r="21">
          <cell r="E21">
            <v>555</v>
          </cell>
          <cell r="G21">
            <v>10166</v>
          </cell>
        </row>
        <row r="22">
          <cell r="G22">
            <v>6000</v>
          </cell>
        </row>
        <row r="26">
          <cell r="G26">
            <v>29503</v>
          </cell>
        </row>
        <row r="27">
          <cell r="G27">
            <v>3980</v>
          </cell>
        </row>
        <row r="28">
          <cell r="G28">
            <v>27414</v>
          </cell>
        </row>
        <row r="29">
          <cell r="G29">
            <v>11400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RJ 10 - nákupy"/>
      <sheetName val="ORJ 11 - nákupy"/>
      <sheetName val="ORJ 12 - nákupy"/>
      <sheetName val="ORJ 13 - nákupy"/>
      <sheetName val="ORJ 14 - nákupy"/>
    </sheetNames>
    <sheetDataSet>
      <sheetData sheetId="0">
        <row r="13">
          <cell r="H13">
            <v>27051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RJ 10 školství"/>
      <sheetName val="ORJ 64 školství"/>
      <sheetName val="ORJ 60 sociální "/>
      <sheetName val="ORJ 64 sociální"/>
      <sheetName val="ORJ 64 kultura"/>
      <sheetName val="ORJ 14 zdravotnictví "/>
      <sheetName val="ORJ 59 životní prostředí"/>
      <sheetName val="ORJ 33 regionální rozvoj"/>
      <sheetName val="ORJ 74 regionální rozvoj"/>
    </sheetNames>
    <sheetDataSet>
      <sheetData sheetId="0">
        <row r="19">
          <cell r="D19">
            <v>11138</v>
          </cell>
          <cell r="G19">
            <v>33707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RJ 10 školství"/>
      <sheetName val="ORJ 52 školství"/>
      <sheetName val="ORJ 59 školství"/>
      <sheetName val="ORJ 52 sociální"/>
      <sheetName val="ORJ 12 doprava"/>
      <sheetName val="ORJ 50 doprava"/>
      <sheetName val="ORJ 13 kultura"/>
      <sheetName val="ORJ 52 kultura"/>
      <sheetName val="ORJ 14 zdravotnictví"/>
      <sheetName val="ORJ 52 zdravotnictví"/>
      <sheetName val="ORJ 59 zdravotnictví"/>
      <sheetName val="ORJ 52 ostatní"/>
      <sheetName val="ORJ 59 informační technologie"/>
      <sheetName val="ORJ 59 územní plánování"/>
    </sheetNames>
    <sheetDataSet>
      <sheetData sheetId="0">
        <row r="5">
          <cell r="C5">
            <v>0</v>
          </cell>
          <cell r="G5">
            <v>11231</v>
          </cell>
        </row>
        <row r="6">
          <cell r="C6">
            <v>134694</v>
          </cell>
          <cell r="G6">
            <v>54406</v>
          </cell>
        </row>
        <row r="7">
          <cell r="C7">
            <v>47598</v>
          </cell>
          <cell r="G7">
            <v>110436</v>
          </cell>
        </row>
        <row r="8">
          <cell r="C8">
            <v>11589</v>
          </cell>
          <cell r="G8">
            <v>5789</v>
          </cell>
        </row>
        <row r="9">
          <cell r="C9">
            <v>102464</v>
          </cell>
          <cell r="G9">
            <v>216547</v>
          </cell>
        </row>
        <row r="10">
          <cell r="C10">
            <v>11535</v>
          </cell>
          <cell r="G10">
            <v>59220</v>
          </cell>
        </row>
        <row r="11">
          <cell r="C11">
            <v>0</v>
          </cell>
          <cell r="G11">
            <v>37500</v>
          </cell>
        </row>
        <row r="12">
          <cell r="C12">
            <v>50756</v>
          </cell>
          <cell r="G12">
            <v>41722</v>
          </cell>
        </row>
        <row r="13">
          <cell r="C13">
            <v>0</v>
          </cell>
          <cell r="G13">
            <v>5500</v>
          </cell>
        </row>
        <row r="14">
          <cell r="C14">
            <v>12582</v>
          </cell>
          <cell r="G14">
            <v>28000</v>
          </cell>
        </row>
        <row r="15">
          <cell r="C15">
            <v>42002</v>
          </cell>
          <cell r="G15">
            <v>31747</v>
          </cell>
        </row>
        <row r="16">
          <cell r="C16">
            <v>3580</v>
          </cell>
          <cell r="G16">
            <v>2107</v>
          </cell>
        </row>
        <row r="17">
          <cell r="C17">
            <v>15000</v>
          </cell>
          <cell r="G17">
            <v>54536</v>
          </cell>
        </row>
        <row r="18">
          <cell r="C18">
            <v>11612</v>
          </cell>
          <cell r="G18">
            <v>60122</v>
          </cell>
        </row>
        <row r="19">
          <cell r="C19">
            <v>47993</v>
          </cell>
          <cell r="G19">
            <v>14137</v>
          </cell>
        </row>
        <row r="20">
          <cell r="C20">
            <v>30068</v>
          </cell>
          <cell r="G20">
            <v>46932</v>
          </cell>
        </row>
        <row r="21">
          <cell r="C21">
            <v>98725</v>
          </cell>
          <cell r="G21">
            <v>28346</v>
          </cell>
        </row>
        <row r="22">
          <cell r="C22">
            <v>72641</v>
          </cell>
          <cell r="G22">
            <v>19980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last energ. služby - ORJ 08 "/>
    </sheetNames>
    <sheetDataSet>
      <sheetData sheetId="0">
        <row r="27">
          <cell r="O27">
            <v>19203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showGridLines="0" tabSelected="1" view="pageBreakPreview" zoomScale="90" zoomScaleNormal="100" zoomScaleSheetLayoutView="90" workbookViewId="0">
      <selection activeCell="H34" sqref="H34"/>
    </sheetView>
  </sheetViews>
  <sheetFormatPr defaultColWidth="9.140625" defaultRowHeight="12.75" x14ac:dyDescent="0.2"/>
  <cols>
    <col min="1" max="1" width="9.28515625" style="2" customWidth="1"/>
    <col min="2" max="2" width="46.5703125" style="2" customWidth="1"/>
    <col min="3" max="3" width="25.7109375" style="2" customWidth="1"/>
    <col min="4" max="4" width="23.42578125" style="2" customWidth="1"/>
    <col min="5" max="5" width="20.42578125" style="2" customWidth="1"/>
    <col min="6" max="6" width="19.42578125" style="2" customWidth="1"/>
    <col min="7" max="7" width="24.140625" style="2" customWidth="1"/>
    <col min="8" max="8" width="23" style="2" customWidth="1"/>
    <col min="9" max="9" width="20.85546875" style="2" customWidth="1"/>
    <col min="10" max="16384" width="9.140625" style="2"/>
  </cols>
  <sheetData>
    <row r="1" spans="1:9" ht="18" x14ac:dyDescent="0.25">
      <c r="A1" s="1" t="s">
        <v>37</v>
      </c>
    </row>
    <row r="2" spans="1:9" ht="18" x14ac:dyDescent="0.25">
      <c r="A2" s="1" t="s">
        <v>38</v>
      </c>
    </row>
    <row r="3" spans="1:9" ht="13.5" thickBot="1" x14ac:dyDescent="0.25">
      <c r="H3" s="20" t="s">
        <v>0</v>
      </c>
    </row>
    <row r="4" spans="1:9" ht="54.75" thickBot="1" x14ac:dyDescent="0.25">
      <c r="A4" s="84" t="s">
        <v>7</v>
      </c>
      <c r="B4" s="85"/>
      <c r="C4" s="17" t="s">
        <v>1</v>
      </c>
      <c r="D4" s="17" t="s">
        <v>2</v>
      </c>
      <c r="E4" s="17" t="s">
        <v>40</v>
      </c>
      <c r="F4" s="17" t="s">
        <v>4</v>
      </c>
      <c r="G4" s="18" t="s">
        <v>5</v>
      </c>
      <c r="H4" s="21" t="s">
        <v>33</v>
      </c>
    </row>
    <row r="5" spans="1:9" s="8" customFormat="1" ht="15" x14ac:dyDescent="0.2">
      <c r="A5" s="5" t="s">
        <v>15</v>
      </c>
      <c r="B5" s="6" t="s">
        <v>28</v>
      </c>
      <c r="C5" s="14">
        <v>0</v>
      </c>
      <c r="D5" s="14">
        <v>0</v>
      </c>
      <c r="E5" s="7">
        <v>0</v>
      </c>
      <c r="F5" s="15">
        <v>0</v>
      </c>
      <c r="G5" s="14">
        <f>[1]Souhrn!$G$7+[1]Souhrn!$G$10</f>
        <v>31945</v>
      </c>
      <c r="H5" s="22">
        <f>SUM(C5:G5)</f>
        <v>31945</v>
      </c>
    </row>
    <row r="6" spans="1:9" s="8" customFormat="1" ht="15" x14ac:dyDescent="0.2">
      <c r="A6" s="9" t="s">
        <v>15</v>
      </c>
      <c r="B6" s="6" t="s">
        <v>29</v>
      </c>
      <c r="C6" s="15">
        <v>0</v>
      </c>
      <c r="D6" s="15">
        <v>0</v>
      </c>
      <c r="E6" s="10">
        <v>0</v>
      </c>
      <c r="F6" s="15">
        <f>[1]Souhrn!$F$19</f>
        <v>30776</v>
      </c>
      <c r="G6" s="15">
        <f>[1]Souhrn!$G$5+[1]Souhrn!$G$8+[1]Souhrn!$G$12+[1]Souhrn!$G$13+[1]Souhrn!$G$16+[1]Souhrn!$G$17+[1]Souhrn!$G$19</f>
        <v>382964</v>
      </c>
      <c r="H6" s="23">
        <f>SUM(C6:G6)</f>
        <v>413740</v>
      </c>
    </row>
    <row r="7" spans="1:9" s="8" customFormat="1" ht="15" x14ac:dyDescent="0.2">
      <c r="A7" s="9" t="s">
        <v>15</v>
      </c>
      <c r="B7" s="6" t="s">
        <v>42</v>
      </c>
      <c r="C7" s="15">
        <v>0</v>
      </c>
      <c r="D7" s="15">
        <v>0</v>
      </c>
      <c r="E7" s="10">
        <v>0</v>
      </c>
      <c r="F7" s="15">
        <v>0</v>
      </c>
      <c r="G7" s="15">
        <f>[1]Souhrn!$G$6+[1]Souhrn!$G$9</f>
        <v>55821</v>
      </c>
      <c r="H7" s="23">
        <f t="shared" ref="H7:H14" si="0">SUM(C7:G7)</f>
        <v>55821</v>
      </c>
    </row>
    <row r="8" spans="1:9" s="8" customFormat="1" ht="15" x14ac:dyDescent="0.2">
      <c r="A8" s="9" t="s">
        <v>34</v>
      </c>
      <c r="B8" s="6" t="s">
        <v>30</v>
      </c>
      <c r="C8" s="15">
        <v>0</v>
      </c>
      <c r="D8" s="15">
        <v>0</v>
      </c>
      <c r="E8" s="15">
        <f>[2]Souhrn!$E$6</f>
        <v>1335</v>
      </c>
      <c r="F8" s="15">
        <v>0</v>
      </c>
      <c r="G8" s="15">
        <f>[2]Souhrn!$G$6+[2]Souhrn!$G$8+[2]Souhrn!$G$11+[2]Souhrn!$G$13+[2]Souhrn!$G$18+[2]Souhrn!$G$27</f>
        <v>54336</v>
      </c>
      <c r="H8" s="23">
        <f>SUM(C8:G8)</f>
        <v>55671</v>
      </c>
    </row>
    <row r="9" spans="1:9" s="8" customFormat="1" ht="15" x14ac:dyDescent="0.2">
      <c r="A9" s="9" t="s">
        <v>16</v>
      </c>
      <c r="B9" s="6" t="s">
        <v>31</v>
      </c>
      <c r="C9" s="15">
        <v>0</v>
      </c>
      <c r="D9" s="15">
        <v>0</v>
      </c>
      <c r="E9" s="15">
        <f>[2]Souhrn!$E$5+[2]Souhrn!$E$21</f>
        <v>13755</v>
      </c>
      <c r="F9" s="15">
        <v>0</v>
      </c>
      <c r="G9" s="15">
        <f>[2]Souhrn!$G$5+[2]Souhrn!$G$9+[2]Souhrn!$G$10+[2]Souhrn!$G$12+[2]Souhrn!$G$15+[2]Souhrn!$G$17+[2]Souhrn!$G$21+[2]Souhrn!$G$22+[2]Souhrn!$G$26+[2]Souhrn!$G$28+[2]Souhrn!$G$29</f>
        <v>914264</v>
      </c>
      <c r="H9" s="23">
        <f t="shared" si="0"/>
        <v>928019</v>
      </c>
    </row>
    <row r="10" spans="1:9" s="8" customFormat="1" ht="15" x14ac:dyDescent="0.2">
      <c r="A10" s="9" t="s">
        <v>17</v>
      </c>
      <c r="B10" s="6" t="s">
        <v>32</v>
      </c>
      <c r="C10" s="15">
        <v>0</v>
      </c>
      <c r="D10" s="15">
        <v>0</v>
      </c>
      <c r="E10" s="10">
        <v>0</v>
      </c>
      <c r="F10" s="15">
        <v>0</v>
      </c>
      <c r="G10" s="15">
        <f>[3]Souhrn!$H$13</f>
        <v>27051</v>
      </c>
      <c r="H10" s="23">
        <f t="shared" si="0"/>
        <v>27051</v>
      </c>
    </row>
    <row r="11" spans="1:9" s="8" customFormat="1" ht="15" x14ac:dyDescent="0.2">
      <c r="A11" s="9" t="s">
        <v>18</v>
      </c>
      <c r="B11" s="6" t="s">
        <v>35</v>
      </c>
      <c r="C11" s="15">
        <v>0</v>
      </c>
      <c r="D11" s="15">
        <f>[4]Souhrn!$D$19</f>
        <v>11138</v>
      </c>
      <c r="E11" s="10">
        <v>0</v>
      </c>
      <c r="F11" s="15">
        <v>0</v>
      </c>
      <c r="G11" s="15">
        <f>[4]Souhrn!$G$19</f>
        <v>33707</v>
      </c>
      <c r="H11" s="23">
        <f>SUM(C11:G11)</f>
        <v>44845</v>
      </c>
    </row>
    <row r="12" spans="1:9" s="8" customFormat="1" ht="15" x14ac:dyDescent="0.2">
      <c r="A12" s="9" t="s">
        <v>19</v>
      </c>
      <c r="B12" s="6" t="s">
        <v>36</v>
      </c>
      <c r="C12" s="15">
        <v>0</v>
      </c>
      <c r="D12" s="15">
        <f>[5]Souhrn!$C$5+[5]Souhrn!$C$6+[5]Souhrn!$C$8+[5]Souhrn!$C$9+[5]Souhrn!$C$11+[5]Souhrn!$C$12+[5]Souhrn!$C$13+[5]Souhrn!$C$14+[5]Souhrn!$C$16+[5]Souhrn!$C$17+[5]Souhrn!$C$19+[5]Souhrn!$C$21+[5]Souhrn!$C$22</f>
        <v>550024</v>
      </c>
      <c r="E12" s="10">
        <v>0</v>
      </c>
      <c r="F12" s="15">
        <v>0</v>
      </c>
      <c r="G12" s="15">
        <f>[5]Souhrn!$G$5+[5]Souhrn!$G$6+[5]Souhrn!$G$8+[5]Souhrn!$G$9+[5]Souhrn!$G$11+[5]Souhrn!$G$12+[5]Souhrn!$G$13+[5]Souhrn!$G$14+[5]Souhrn!$G$16+[5]Souhrn!$G$17+[5]Souhrn!$G$19+[5]Souhrn!$G$21+[5]Souhrn!$G$22</f>
        <v>519801</v>
      </c>
      <c r="H12" s="23">
        <f>SUM(C12:G12)</f>
        <v>1069825</v>
      </c>
    </row>
    <row r="13" spans="1:9" s="8" customFormat="1" ht="15" x14ac:dyDescent="0.2">
      <c r="A13" s="9" t="s">
        <v>19</v>
      </c>
      <c r="B13" s="6" t="s">
        <v>41</v>
      </c>
      <c r="C13" s="15">
        <v>0</v>
      </c>
      <c r="D13" s="15">
        <f>[5]Souhrn!$C$7+[5]Souhrn!$C$10+[5]Souhrn!$C$15+[5]Souhrn!$C$18+[5]Souhrn!$C$20</f>
        <v>142815</v>
      </c>
      <c r="E13" s="10">
        <v>0</v>
      </c>
      <c r="F13" s="15">
        <v>0</v>
      </c>
      <c r="G13" s="15">
        <f>[5]Souhrn!$G$7+[5]Souhrn!$G$10+[5]Souhrn!$G$15+[5]Souhrn!$G$18+[5]Souhrn!$G$20</f>
        <v>308457</v>
      </c>
      <c r="H13" s="23">
        <f>SUM(C13:G13)</f>
        <v>451272</v>
      </c>
    </row>
    <row r="14" spans="1:9" s="8" customFormat="1" ht="15.75" thickBot="1" x14ac:dyDescent="0.25">
      <c r="A14" s="9" t="s">
        <v>50</v>
      </c>
      <c r="B14" s="6" t="s">
        <v>21</v>
      </c>
      <c r="C14" s="15">
        <v>0</v>
      </c>
      <c r="D14" s="15">
        <v>0</v>
      </c>
      <c r="E14" s="10">
        <v>0</v>
      </c>
      <c r="F14" s="15">
        <v>0</v>
      </c>
      <c r="G14" s="15">
        <f>SUM('[6]Oblast energ. služby - ORJ 08 '!$O$27)</f>
        <v>19203</v>
      </c>
      <c r="H14" s="23">
        <f t="shared" si="0"/>
        <v>19203</v>
      </c>
    </row>
    <row r="15" spans="1:9" ht="16.5" thickBot="1" x14ac:dyDescent="0.3">
      <c r="A15" s="82" t="s">
        <v>6</v>
      </c>
      <c r="B15" s="83"/>
      <c r="C15" s="16">
        <f t="shared" ref="C15:E15" si="1">SUM(C5:C14)</f>
        <v>0</v>
      </c>
      <c r="D15" s="16">
        <f>SUM(D5:D14)</f>
        <v>703977</v>
      </c>
      <c r="E15" s="3">
        <f t="shared" si="1"/>
        <v>15090</v>
      </c>
      <c r="F15" s="16">
        <f>SUM(F5:F14)</f>
        <v>30776</v>
      </c>
      <c r="G15" s="16">
        <f>SUM(G5:G14)</f>
        <v>2347549</v>
      </c>
      <c r="H15" s="24">
        <f>SUM(H5:H14)</f>
        <v>3097392</v>
      </c>
      <c r="I15" s="13">
        <f>G15+F15+D15</f>
        <v>3082302</v>
      </c>
    </row>
    <row r="16" spans="1:9" ht="21" customHeight="1" x14ac:dyDescent="0.2">
      <c r="G16" s="13"/>
      <c r="I16" s="13">
        <f>H15-E15</f>
        <v>3082302</v>
      </c>
    </row>
    <row r="17" spans="1:8" ht="15.75" x14ac:dyDescent="0.25">
      <c r="E17" s="11"/>
      <c r="F17" s="12"/>
      <c r="G17" s="81" t="s">
        <v>49</v>
      </c>
      <c r="H17" s="80">
        <f>H15-E15</f>
        <v>3082302</v>
      </c>
    </row>
    <row r="18" spans="1:8" x14ac:dyDescent="0.2">
      <c r="E18" s="4"/>
      <c r="F18" s="19"/>
      <c r="G18" s="13"/>
    </row>
    <row r="19" spans="1:8" x14ac:dyDescent="0.2">
      <c r="F19" s="19"/>
    </row>
    <row r="20" spans="1:8" ht="15" x14ac:dyDescent="0.25">
      <c r="A20" s="73" t="s">
        <v>39</v>
      </c>
      <c r="F20" s="19"/>
    </row>
    <row r="23" spans="1:8" x14ac:dyDescent="0.2">
      <c r="F23" s="2" t="s">
        <v>43</v>
      </c>
    </row>
    <row r="24" spans="1:8" x14ac:dyDescent="0.2">
      <c r="B24" s="74" t="s">
        <v>43</v>
      </c>
      <c r="C24" s="13">
        <f t="shared" ref="C24:H24" si="2">C7+C13+C14</f>
        <v>0</v>
      </c>
      <c r="D24" s="13">
        <f t="shared" si="2"/>
        <v>142815</v>
      </c>
      <c r="E24" s="13">
        <f t="shared" si="2"/>
        <v>0</v>
      </c>
      <c r="F24" s="13">
        <f t="shared" si="2"/>
        <v>0</v>
      </c>
      <c r="G24" s="13">
        <f t="shared" si="2"/>
        <v>383481</v>
      </c>
      <c r="H24" s="13">
        <f t="shared" si="2"/>
        <v>526296</v>
      </c>
    </row>
    <row r="25" spans="1:8" x14ac:dyDescent="0.2">
      <c r="B25" s="74" t="s">
        <v>44</v>
      </c>
      <c r="C25" s="13">
        <f t="shared" ref="C25:H25" si="3">C5+C6+C8+C9+C10+C11+C12</f>
        <v>0</v>
      </c>
      <c r="D25" s="13">
        <f t="shared" si="3"/>
        <v>561162</v>
      </c>
      <c r="E25" s="13">
        <f t="shared" si="3"/>
        <v>15090</v>
      </c>
      <c r="F25" s="13">
        <f t="shared" si="3"/>
        <v>30776</v>
      </c>
      <c r="G25" s="13">
        <f t="shared" si="3"/>
        <v>1964068</v>
      </c>
      <c r="H25" s="13">
        <f t="shared" si="3"/>
        <v>2571096</v>
      </c>
    </row>
    <row r="26" spans="1:8" x14ac:dyDescent="0.2">
      <c r="C26" s="13">
        <f>SUM(C24:C25)</f>
        <v>0</v>
      </c>
      <c r="D26" s="13">
        <f t="shared" ref="D26:H26" si="4">SUM(D24:D25)</f>
        <v>703977</v>
      </c>
      <c r="E26" s="13">
        <f t="shared" si="4"/>
        <v>15090</v>
      </c>
      <c r="F26" s="13">
        <f t="shared" si="4"/>
        <v>30776</v>
      </c>
      <c r="G26" s="13">
        <f>SUM(G24:G25)</f>
        <v>2347549</v>
      </c>
      <c r="H26" s="13">
        <f t="shared" si="4"/>
        <v>3097392</v>
      </c>
    </row>
    <row r="27" spans="1:8" x14ac:dyDescent="0.2">
      <c r="F27" s="13"/>
    </row>
    <row r="28" spans="1:8" x14ac:dyDescent="0.2">
      <c r="F28" s="13"/>
    </row>
    <row r="29" spans="1:8" x14ac:dyDescent="0.2">
      <c r="F29" s="13"/>
    </row>
    <row r="30" spans="1:8" x14ac:dyDescent="0.2">
      <c r="F30" s="13"/>
    </row>
    <row r="31" spans="1:8" x14ac:dyDescent="0.2">
      <c r="F31" s="13"/>
    </row>
    <row r="32" spans="1:8" x14ac:dyDescent="0.2">
      <c r="F32" s="13"/>
    </row>
    <row r="33" spans="6:6" x14ac:dyDescent="0.2">
      <c r="F33" s="13"/>
    </row>
    <row r="34" spans="6:6" x14ac:dyDescent="0.2">
      <c r="F34" s="13"/>
    </row>
    <row r="35" spans="6:6" x14ac:dyDescent="0.2">
      <c r="F35" s="13"/>
    </row>
  </sheetData>
  <mergeCells count="2">
    <mergeCell ref="A15:B15"/>
    <mergeCell ref="A4:B4"/>
  </mergeCells>
  <pageMargins left="0.39370078740157483" right="0.39370078740157483" top="0.78740157480314965" bottom="0.78740157480314965" header="0.31496062992125984" footer="0.31496062992125984"/>
  <pageSetup paperSize="9" scale="72" firstPageNumber="118" fitToHeight="0" orientation="landscape" useFirstPageNumber="1" r:id="rId1"/>
  <headerFooter>
    <oddFooter>&amp;L&amp;"Arial,Kurzíva"&amp;12Zastupitelstvo Olomouckého kraje 16.12.2024
10.1. - Rozpočet Olomouckého kraje na rok 2025 - návrh rozpočtu 
Příloha č. 5) - Opravy, investice, nákupy a dotační projekty&amp;R&amp;"Arial,Kurzíva"&amp;12Strana &amp;P (celkem 205)</oddFooter>
  </headerFooter>
  <rowBreaks count="1" manualBreakCount="1">
    <brk id="24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9"/>
  <sheetViews>
    <sheetView view="pageBreakPreview" topLeftCell="A46" zoomScaleNormal="100" zoomScaleSheetLayoutView="100" workbookViewId="0">
      <selection activeCell="J75" sqref="J75"/>
    </sheetView>
  </sheetViews>
  <sheetFormatPr defaultRowHeight="14.25" x14ac:dyDescent="0.2"/>
  <cols>
    <col min="1" max="1" width="9.140625" style="25"/>
    <col min="2" max="2" width="34.42578125" style="25" customWidth="1"/>
    <col min="3" max="3" width="16.7109375" style="25" hidden="1" customWidth="1"/>
    <col min="4" max="4" width="17.28515625" style="25" customWidth="1"/>
    <col min="5" max="5" width="12" style="25" customWidth="1"/>
    <col min="6" max="6" width="13.5703125" style="25" customWidth="1"/>
    <col min="7" max="7" width="15.42578125" style="25" customWidth="1"/>
    <col min="8" max="8" width="16.7109375" style="25" customWidth="1"/>
    <col min="9" max="9" width="9.140625" style="25"/>
    <col min="10" max="10" width="17.5703125" style="25" customWidth="1"/>
    <col min="11" max="16384" width="9.140625" style="25"/>
  </cols>
  <sheetData>
    <row r="1" spans="1:12" ht="15" thickBot="1" x14ac:dyDescent="0.25"/>
    <row r="2" spans="1:12" s="27" customFormat="1" ht="45.75" thickBot="1" x14ac:dyDescent="0.3">
      <c r="A2" s="86" t="s">
        <v>7</v>
      </c>
      <c r="B2" s="87"/>
      <c r="C2" s="71" t="s">
        <v>1</v>
      </c>
      <c r="D2" s="71" t="s">
        <v>2</v>
      </c>
      <c r="E2" s="71" t="s">
        <v>3</v>
      </c>
      <c r="F2" s="71" t="s">
        <v>4</v>
      </c>
      <c r="G2" s="71" t="s">
        <v>5</v>
      </c>
      <c r="H2" s="72" t="s">
        <v>33</v>
      </c>
      <c r="I2" s="27" t="s">
        <v>48</v>
      </c>
      <c r="J2" s="26"/>
    </row>
    <row r="3" spans="1:12" ht="15" x14ac:dyDescent="0.25">
      <c r="A3" s="28" t="s">
        <v>22</v>
      </c>
      <c r="B3" s="29"/>
      <c r="C3" s="30">
        <v>0</v>
      </c>
      <c r="D3" s="30">
        <f>SUM(D4:D12)</f>
        <v>195881</v>
      </c>
      <c r="E3" s="30">
        <f t="shared" ref="E3:H3" si="0">SUM(E4:E12)</f>
        <v>4535</v>
      </c>
      <c r="F3" s="30">
        <f t="shared" si="0"/>
        <v>0</v>
      </c>
      <c r="G3" s="30">
        <f t="shared" si="0"/>
        <v>422049</v>
      </c>
      <c r="H3" s="31">
        <f t="shared" si="0"/>
        <v>622465</v>
      </c>
      <c r="I3" s="75">
        <v>596116</v>
      </c>
    </row>
    <row r="4" spans="1:12" x14ac:dyDescent="0.2">
      <c r="A4" s="32" t="s">
        <v>15</v>
      </c>
      <c r="B4" s="33" t="s">
        <v>9</v>
      </c>
      <c r="C4" s="34"/>
      <c r="D4" s="34"/>
      <c r="E4" s="34"/>
      <c r="F4" s="34"/>
      <c r="G4" s="77">
        <v>20825</v>
      </c>
      <c r="H4" s="35">
        <f>SUM(D4:G4)</f>
        <v>20825</v>
      </c>
    </row>
    <row r="5" spans="1:12" x14ac:dyDescent="0.2">
      <c r="A5" s="32" t="s">
        <v>15</v>
      </c>
      <c r="B5" s="33" t="s">
        <v>10</v>
      </c>
      <c r="C5" s="34"/>
      <c r="D5" s="34"/>
      <c r="E5" s="34"/>
      <c r="F5" s="34"/>
      <c r="G5" s="77">
        <v>89595</v>
      </c>
      <c r="H5" s="35">
        <f t="shared" ref="H5:H12" si="1">SUM(D5:G5)</f>
        <v>89595</v>
      </c>
    </row>
    <row r="6" spans="1:12" x14ac:dyDescent="0.2">
      <c r="A6" s="32" t="s">
        <v>45</v>
      </c>
      <c r="B6" s="33" t="s">
        <v>46</v>
      </c>
      <c r="C6" s="34"/>
      <c r="D6" s="34"/>
      <c r="E6" s="34"/>
      <c r="F6" s="34"/>
      <c r="G6" s="77">
        <v>50243</v>
      </c>
      <c r="H6" s="35">
        <f t="shared" si="1"/>
        <v>50243</v>
      </c>
    </row>
    <row r="7" spans="1:12" x14ac:dyDescent="0.2">
      <c r="A7" s="32" t="s">
        <v>34</v>
      </c>
      <c r="B7" s="33" t="s">
        <v>11</v>
      </c>
      <c r="C7" s="34"/>
      <c r="D7" s="34"/>
      <c r="E7" s="34">
        <v>1335</v>
      </c>
      <c r="F7" s="34"/>
      <c r="G7" s="34">
        <f>9495+6000</f>
        <v>15495</v>
      </c>
      <c r="H7" s="35">
        <f t="shared" si="1"/>
        <v>16830</v>
      </c>
    </row>
    <row r="8" spans="1:12" x14ac:dyDescent="0.2">
      <c r="A8" s="32" t="s">
        <v>16</v>
      </c>
      <c r="B8" s="33" t="s">
        <v>12</v>
      </c>
      <c r="C8" s="34"/>
      <c r="D8" s="34"/>
      <c r="E8" s="34">
        <v>3200</v>
      </c>
      <c r="F8" s="34"/>
      <c r="G8" s="34">
        <f>3666+41813</f>
        <v>45479</v>
      </c>
      <c r="H8" s="35">
        <f t="shared" si="1"/>
        <v>48679</v>
      </c>
    </row>
    <row r="9" spans="1:12" x14ac:dyDescent="0.2">
      <c r="A9" s="32" t="s">
        <v>17</v>
      </c>
      <c r="B9" s="33" t="s">
        <v>8</v>
      </c>
      <c r="C9" s="34"/>
      <c r="D9" s="34"/>
      <c r="E9" s="34"/>
      <c r="F9" s="34"/>
      <c r="G9" s="34">
        <v>10012</v>
      </c>
      <c r="H9" s="35">
        <f t="shared" si="1"/>
        <v>10012</v>
      </c>
    </row>
    <row r="10" spans="1:12" x14ac:dyDescent="0.2">
      <c r="A10" s="32" t="s">
        <v>18</v>
      </c>
      <c r="B10" s="33" t="s">
        <v>13</v>
      </c>
      <c r="C10" s="34"/>
      <c r="D10" s="34">
        <v>2000</v>
      </c>
      <c r="E10" s="34"/>
      <c r="F10" s="34"/>
      <c r="G10" s="34">
        <f>388+8150</f>
        <v>8538</v>
      </c>
      <c r="H10" s="35">
        <f t="shared" si="1"/>
        <v>10538</v>
      </c>
    </row>
    <row r="11" spans="1:12" x14ac:dyDescent="0.2">
      <c r="A11" s="32" t="s">
        <v>19</v>
      </c>
      <c r="B11" s="33" t="s">
        <v>14</v>
      </c>
      <c r="C11" s="34"/>
      <c r="D11" s="34">
        <f>134694+11589</f>
        <v>146283</v>
      </c>
      <c r="E11" s="34"/>
      <c r="F11" s="34"/>
      <c r="G11" s="34">
        <f>11231+54406+5789</f>
        <v>71426</v>
      </c>
      <c r="H11" s="35">
        <f t="shared" si="1"/>
        <v>217709</v>
      </c>
    </row>
    <row r="12" spans="1:12" ht="15" thickBot="1" x14ac:dyDescent="0.25">
      <c r="A12" s="36" t="s">
        <v>19</v>
      </c>
      <c r="B12" s="37" t="s">
        <v>47</v>
      </c>
      <c r="C12" s="38"/>
      <c r="D12" s="38">
        <v>47598</v>
      </c>
      <c r="E12" s="38"/>
      <c r="F12" s="38"/>
      <c r="G12" s="38">
        <v>110436</v>
      </c>
      <c r="H12" s="39">
        <f t="shared" si="1"/>
        <v>158034</v>
      </c>
      <c r="J12" s="75">
        <f>89595+50243+20825+6866+10830+6000+41813+388+7500+10012+11231+189100+158034+17378</f>
        <v>619815</v>
      </c>
    </row>
    <row r="13" spans="1:12" ht="15" x14ac:dyDescent="0.25">
      <c r="A13" s="40" t="s">
        <v>23</v>
      </c>
      <c r="B13" s="41"/>
      <c r="C13" s="41">
        <v>0</v>
      </c>
      <c r="D13" s="42">
        <f>SUM(D14:D22)</f>
        <v>113999</v>
      </c>
      <c r="E13" s="42">
        <f t="shared" ref="E13:H13" si="2">SUM(E14:E22)</f>
        <v>0</v>
      </c>
      <c r="F13" s="42">
        <f t="shared" si="2"/>
        <v>0</v>
      </c>
      <c r="G13" s="42">
        <f t="shared" si="2"/>
        <v>487684</v>
      </c>
      <c r="H13" s="43">
        <f t="shared" si="2"/>
        <v>601683</v>
      </c>
      <c r="I13" s="75">
        <v>498779</v>
      </c>
      <c r="J13" s="75"/>
      <c r="K13" s="75"/>
      <c r="L13" s="75"/>
    </row>
    <row r="14" spans="1:12" x14ac:dyDescent="0.2">
      <c r="A14" s="32" t="s">
        <v>15</v>
      </c>
      <c r="B14" s="33" t="s">
        <v>9</v>
      </c>
      <c r="C14" s="33"/>
      <c r="D14" s="77"/>
      <c r="E14" s="77"/>
      <c r="F14" s="77"/>
      <c r="G14" s="77">
        <v>11120</v>
      </c>
      <c r="H14" s="35">
        <f>SUM(D14:G14)</f>
        <v>11120</v>
      </c>
    </row>
    <row r="15" spans="1:12" x14ac:dyDescent="0.2">
      <c r="A15" s="32" t="s">
        <v>15</v>
      </c>
      <c r="B15" s="33" t="s">
        <v>10</v>
      </c>
      <c r="C15" s="33"/>
      <c r="D15" s="77"/>
      <c r="E15" s="77"/>
      <c r="F15" s="77"/>
      <c r="G15" s="77">
        <v>121825</v>
      </c>
      <c r="H15" s="35">
        <f t="shared" ref="H15:H22" si="3">SUM(D15:G15)</f>
        <v>121825</v>
      </c>
    </row>
    <row r="16" spans="1:12" x14ac:dyDescent="0.2">
      <c r="A16" s="32" t="s">
        <v>45</v>
      </c>
      <c r="B16" s="33" t="s">
        <v>46</v>
      </c>
      <c r="C16" s="34"/>
      <c r="D16" s="77"/>
      <c r="E16" s="77"/>
      <c r="F16" s="77"/>
      <c r="G16" s="77">
        <v>5578</v>
      </c>
      <c r="H16" s="35">
        <f t="shared" ref="H16" si="4">SUM(D16:G16)</f>
        <v>5578</v>
      </c>
    </row>
    <row r="17" spans="1:10" x14ac:dyDescent="0.2">
      <c r="A17" s="32" t="s">
        <v>34</v>
      </c>
      <c r="B17" s="33" t="s">
        <v>11</v>
      </c>
      <c r="C17" s="33"/>
      <c r="D17" s="77"/>
      <c r="E17" s="77"/>
      <c r="F17" s="77"/>
      <c r="G17" s="77">
        <f>22843+7950</f>
        <v>30793</v>
      </c>
      <c r="H17" s="35">
        <f t="shared" si="3"/>
        <v>30793</v>
      </c>
    </row>
    <row r="18" spans="1:10" x14ac:dyDescent="0.2">
      <c r="A18" s="32" t="s">
        <v>16</v>
      </c>
      <c r="B18" s="33" t="s">
        <v>12</v>
      </c>
      <c r="C18" s="33"/>
      <c r="D18" s="77"/>
      <c r="E18" s="77"/>
      <c r="F18" s="77"/>
      <c r="G18" s="77">
        <f>8458+9774+2500</f>
        <v>20732</v>
      </c>
      <c r="H18" s="35">
        <f t="shared" si="3"/>
        <v>20732</v>
      </c>
    </row>
    <row r="19" spans="1:10" x14ac:dyDescent="0.2">
      <c r="A19" s="32" t="s">
        <v>17</v>
      </c>
      <c r="B19" s="33" t="s">
        <v>8</v>
      </c>
      <c r="C19" s="33"/>
      <c r="D19" s="77"/>
      <c r="E19" s="77"/>
      <c r="F19" s="77"/>
      <c r="G19" s="77">
        <v>6084</v>
      </c>
      <c r="H19" s="35">
        <f t="shared" si="3"/>
        <v>6084</v>
      </c>
    </row>
    <row r="20" spans="1:10" x14ac:dyDescent="0.2">
      <c r="A20" s="32" t="s">
        <v>18</v>
      </c>
      <c r="B20" s="33" t="s">
        <v>13</v>
      </c>
      <c r="C20" s="33"/>
      <c r="D20" s="77"/>
      <c r="E20" s="77"/>
      <c r="F20" s="77"/>
      <c r="G20" s="77">
        <f>12300+3485</f>
        <v>15785</v>
      </c>
      <c r="H20" s="35">
        <f t="shared" si="3"/>
        <v>15785</v>
      </c>
    </row>
    <row r="21" spans="1:10" x14ac:dyDescent="0.2">
      <c r="A21" s="32" t="s">
        <v>19</v>
      </c>
      <c r="B21" s="33" t="s">
        <v>14</v>
      </c>
      <c r="C21" s="33"/>
      <c r="D21" s="77">
        <v>102464</v>
      </c>
      <c r="E21" s="77"/>
      <c r="F21" s="77"/>
      <c r="G21" s="77">
        <v>216547</v>
      </c>
      <c r="H21" s="35">
        <f t="shared" si="3"/>
        <v>319011</v>
      </c>
    </row>
    <row r="22" spans="1:10" ht="15" thickBot="1" x14ac:dyDescent="0.25">
      <c r="A22" s="36" t="s">
        <v>19</v>
      </c>
      <c r="B22" s="37" t="s">
        <v>47</v>
      </c>
      <c r="C22" s="37"/>
      <c r="D22" s="78">
        <v>11535</v>
      </c>
      <c r="E22" s="78"/>
      <c r="F22" s="78"/>
      <c r="G22" s="78">
        <v>59220</v>
      </c>
      <c r="H22" s="39">
        <f t="shared" si="3"/>
        <v>70755</v>
      </c>
      <c r="J22" s="75">
        <f>121825+5578+11120+8458+22843+9774+7950+6084+12300+6135+319011+70755+2500</f>
        <v>604333</v>
      </c>
    </row>
    <row r="23" spans="1:10" ht="15" x14ac:dyDescent="0.25">
      <c r="A23" s="44" t="s">
        <v>24</v>
      </c>
      <c r="B23" s="45"/>
      <c r="C23" s="46">
        <v>0</v>
      </c>
      <c r="D23" s="46">
        <f>SUM(D24:D32)</f>
        <v>50756</v>
      </c>
      <c r="E23" s="46">
        <f t="shared" ref="E23:H23" si="5">SUM(E24:E32)</f>
        <v>0</v>
      </c>
      <c r="F23" s="46">
        <f t="shared" si="5"/>
        <v>0</v>
      </c>
      <c r="G23" s="46">
        <f t="shared" si="5"/>
        <v>793041</v>
      </c>
      <c r="H23" s="47">
        <f t="shared" si="5"/>
        <v>843797</v>
      </c>
      <c r="I23" s="75">
        <v>457284</v>
      </c>
    </row>
    <row r="24" spans="1:10" x14ac:dyDescent="0.2">
      <c r="A24" s="32" t="s">
        <v>15</v>
      </c>
      <c r="B24" s="33" t="s">
        <v>9</v>
      </c>
      <c r="C24" s="34"/>
      <c r="D24" s="34"/>
      <c r="E24" s="34"/>
      <c r="F24" s="34"/>
      <c r="G24" s="34">
        <v>0</v>
      </c>
      <c r="H24" s="35">
        <f>SUM(D24:G24)</f>
        <v>0</v>
      </c>
    </row>
    <row r="25" spans="1:10" x14ac:dyDescent="0.2">
      <c r="A25" s="32" t="s">
        <v>15</v>
      </c>
      <c r="B25" s="33" t="s">
        <v>10</v>
      </c>
      <c r="C25" s="34"/>
      <c r="D25" s="34"/>
      <c r="E25" s="34"/>
      <c r="F25" s="34"/>
      <c r="G25" s="77">
        <v>52653</v>
      </c>
      <c r="H25" s="35">
        <f t="shared" ref="H25:H32" si="6">SUM(D25:G25)</f>
        <v>52653</v>
      </c>
    </row>
    <row r="26" spans="1:10" x14ac:dyDescent="0.2">
      <c r="A26" s="32" t="s">
        <v>45</v>
      </c>
      <c r="B26" s="33" t="s">
        <v>46</v>
      </c>
      <c r="C26" s="34"/>
      <c r="D26" s="34"/>
      <c r="E26" s="34"/>
      <c r="F26" s="34"/>
      <c r="G26" s="34">
        <v>0</v>
      </c>
      <c r="H26" s="35">
        <f t="shared" si="6"/>
        <v>0</v>
      </c>
    </row>
    <row r="27" spans="1:10" x14ac:dyDescent="0.2">
      <c r="A27" s="32" t="s">
        <v>34</v>
      </c>
      <c r="B27" s="33" t="s">
        <v>11</v>
      </c>
      <c r="C27" s="34"/>
      <c r="D27" s="34"/>
      <c r="E27" s="34"/>
      <c r="F27" s="34"/>
      <c r="G27" s="34"/>
      <c r="H27" s="35">
        <f t="shared" si="6"/>
        <v>0</v>
      </c>
    </row>
    <row r="28" spans="1:10" x14ac:dyDescent="0.2">
      <c r="A28" s="32" t="s">
        <v>16</v>
      </c>
      <c r="B28" s="33" t="s">
        <v>12</v>
      </c>
      <c r="C28" s="34"/>
      <c r="D28" s="34"/>
      <c r="E28" s="34"/>
      <c r="F28" s="34"/>
      <c r="G28" s="34">
        <f>681400-25000</f>
        <v>656400</v>
      </c>
      <c r="H28" s="35">
        <f t="shared" si="6"/>
        <v>656400</v>
      </c>
    </row>
    <row r="29" spans="1:10" x14ac:dyDescent="0.2">
      <c r="A29" s="32" t="s">
        <v>17</v>
      </c>
      <c r="B29" s="33" t="s">
        <v>8</v>
      </c>
      <c r="C29" s="34"/>
      <c r="D29" s="34"/>
      <c r="E29" s="34"/>
      <c r="F29" s="34"/>
      <c r="G29" s="34">
        <v>4766</v>
      </c>
      <c r="H29" s="35">
        <f t="shared" si="6"/>
        <v>4766</v>
      </c>
    </row>
    <row r="30" spans="1:10" x14ac:dyDescent="0.2">
      <c r="A30" s="32" t="s">
        <v>18</v>
      </c>
      <c r="B30" s="33" t="s">
        <v>13</v>
      </c>
      <c r="C30" s="34"/>
      <c r="D30" s="34"/>
      <c r="E30" s="34"/>
      <c r="F30" s="34"/>
      <c r="G30" s="34"/>
      <c r="H30" s="35">
        <f t="shared" si="6"/>
        <v>0</v>
      </c>
    </row>
    <row r="31" spans="1:10" x14ac:dyDescent="0.2">
      <c r="A31" s="32" t="s">
        <v>19</v>
      </c>
      <c r="B31" s="33" t="s">
        <v>14</v>
      </c>
      <c r="C31" s="34"/>
      <c r="D31" s="34">
        <v>50756</v>
      </c>
      <c r="E31" s="34"/>
      <c r="F31" s="34"/>
      <c r="G31" s="34">
        <f>37500+41722</f>
        <v>79222</v>
      </c>
      <c r="H31" s="35">
        <f t="shared" si="6"/>
        <v>129978</v>
      </c>
    </row>
    <row r="32" spans="1:10" ht="15" thickBot="1" x14ac:dyDescent="0.25">
      <c r="A32" s="32" t="s">
        <v>19</v>
      </c>
      <c r="B32" s="33" t="s">
        <v>47</v>
      </c>
      <c r="C32" s="34"/>
      <c r="D32" s="34"/>
      <c r="E32" s="34"/>
      <c r="F32" s="34"/>
      <c r="G32" s="34"/>
      <c r="H32" s="35">
        <f t="shared" si="6"/>
        <v>0</v>
      </c>
      <c r="J32" s="75">
        <f>52653+656400+4766+37500+92478</f>
        <v>843797</v>
      </c>
    </row>
    <row r="33" spans="1:10" s="52" customFormat="1" ht="15" x14ac:dyDescent="0.25">
      <c r="A33" s="48" t="s">
        <v>25</v>
      </c>
      <c r="B33" s="49"/>
      <c r="C33" s="50">
        <v>0</v>
      </c>
      <c r="D33" s="50">
        <f t="shared" ref="D33:H33" si="7">SUM(D34:D42)</f>
        <v>54584</v>
      </c>
      <c r="E33" s="50">
        <f t="shared" si="7"/>
        <v>0</v>
      </c>
      <c r="F33" s="50">
        <f t="shared" si="7"/>
        <v>0</v>
      </c>
      <c r="G33" s="50">
        <f t="shared" si="7"/>
        <v>87865</v>
      </c>
      <c r="H33" s="51">
        <f t="shared" si="7"/>
        <v>142449</v>
      </c>
      <c r="I33" s="75">
        <v>141417</v>
      </c>
    </row>
    <row r="34" spans="1:10" x14ac:dyDescent="0.2">
      <c r="A34" s="32" t="s">
        <v>15</v>
      </c>
      <c r="B34" s="33" t="s">
        <v>9</v>
      </c>
      <c r="C34" s="34"/>
      <c r="D34" s="34"/>
      <c r="E34" s="34"/>
      <c r="F34" s="34"/>
      <c r="G34" s="34">
        <v>0</v>
      </c>
      <c r="H34" s="35">
        <f t="shared" ref="H34:H42" si="8">SUM(D34:G34)</f>
        <v>0</v>
      </c>
    </row>
    <row r="35" spans="1:10" x14ac:dyDescent="0.2">
      <c r="A35" s="32" t="s">
        <v>15</v>
      </c>
      <c r="B35" s="33" t="s">
        <v>10</v>
      </c>
      <c r="C35" s="34"/>
      <c r="D35" s="34"/>
      <c r="E35" s="34"/>
      <c r="F35" s="34"/>
      <c r="G35" s="77">
        <v>8759</v>
      </c>
      <c r="H35" s="35">
        <f t="shared" si="8"/>
        <v>8759</v>
      </c>
    </row>
    <row r="36" spans="1:10" x14ac:dyDescent="0.2">
      <c r="A36" s="32" t="s">
        <v>45</v>
      </c>
      <c r="B36" s="33" t="s">
        <v>46</v>
      </c>
      <c r="C36" s="34"/>
      <c r="D36" s="34"/>
      <c r="E36" s="34"/>
      <c r="F36" s="34"/>
      <c r="G36" s="34">
        <v>0</v>
      </c>
      <c r="H36" s="35">
        <f t="shared" si="8"/>
        <v>0</v>
      </c>
    </row>
    <row r="37" spans="1:10" x14ac:dyDescent="0.2">
      <c r="A37" s="32" t="s">
        <v>34</v>
      </c>
      <c r="B37" s="33" t="s">
        <v>11</v>
      </c>
      <c r="C37" s="34"/>
      <c r="D37" s="34"/>
      <c r="E37" s="34"/>
      <c r="F37" s="34"/>
      <c r="G37" s="34">
        <v>4068</v>
      </c>
      <c r="H37" s="35">
        <f t="shared" si="8"/>
        <v>4068</v>
      </c>
    </row>
    <row r="38" spans="1:10" x14ac:dyDescent="0.2">
      <c r="A38" s="32" t="s">
        <v>16</v>
      </c>
      <c r="B38" s="33" t="s">
        <v>12</v>
      </c>
      <c r="C38" s="34"/>
      <c r="D38" s="34"/>
      <c r="E38" s="34"/>
      <c r="F38" s="34"/>
      <c r="G38" s="34">
        <v>7170</v>
      </c>
      <c r="H38" s="35">
        <f t="shared" si="8"/>
        <v>7170</v>
      </c>
    </row>
    <row r="39" spans="1:10" x14ac:dyDescent="0.2">
      <c r="A39" s="32" t="s">
        <v>17</v>
      </c>
      <c r="B39" s="33" t="s">
        <v>8</v>
      </c>
      <c r="C39" s="34"/>
      <c r="D39" s="34"/>
      <c r="E39" s="34"/>
      <c r="F39" s="34"/>
      <c r="G39" s="34">
        <v>2374</v>
      </c>
      <c r="H39" s="35">
        <f t="shared" si="8"/>
        <v>2374</v>
      </c>
    </row>
    <row r="40" spans="1:10" x14ac:dyDescent="0.2">
      <c r="A40" s="32" t="s">
        <v>18</v>
      </c>
      <c r="B40" s="33" t="s">
        <v>13</v>
      </c>
      <c r="C40" s="34"/>
      <c r="D40" s="34"/>
      <c r="E40" s="34"/>
      <c r="F40" s="34"/>
      <c r="G40" s="34">
        <v>247</v>
      </c>
      <c r="H40" s="35">
        <f t="shared" si="8"/>
        <v>247</v>
      </c>
    </row>
    <row r="41" spans="1:10" x14ac:dyDescent="0.2">
      <c r="A41" s="32" t="s">
        <v>19</v>
      </c>
      <c r="B41" s="33" t="s">
        <v>14</v>
      </c>
      <c r="C41" s="34"/>
      <c r="D41" s="34">
        <v>12582</v>
      </c>
      <c r="E41" s="34"/>
      <c r="F41" s="34"/>
      <c r="G41" s="34">
        <f>5500+28000</f>
        <v>33500</v>
      </c>
      <c r="H41" s="35">
        <f t="shared" si="8"/>
        <v>46082</v>
      </c>
    </row>
    <row r="42" spans="1:10" ht="15" thickBot="1" x14ac:dyDescent="0.25">
      <c r="A42" s="36" t="s">
        <v>19</v>
      </c>
      <c r="B42" s="37" t="s">
        <v>47</v>
      </c>
      <c r="C42" s="38"/>
      <c r="D42" s="38">
        <v>42002</v>
      </c>
      <c r="E42" s="38"/>
      <c r="F42" s="38"/>
      <c r="G42" s="38">
        <v>31747</v>
      </c>
      <c r="H42" s="39">
        <f t="shared" si="8"/>
        <v>73749</v>
      </c>
      <c r="J42" s="75">
        <f>8759+7170+4068+247+2374+5500+40582+73749</f>
        <v>142449</v>
      </c>
    </row>
    <row r="43" spans="1:10" ht="15" x14ac:dyDescent="0.25">
      <c r="A43" s="53" t="s">
        <v>26</v>
      </c>
      <c r="B43" s="54"/>
      <c r="C43" s="55">
        <v>0</v>
      </c>
      <c r="D43" s="55">
        <f t="shared" ref="D43:H43" si="9">SUM(D44:D52)</f>
        <v>78185</v>
      </c>
      <c r="E43" s="55">
        <f t="shared" si="9"/>
        <v>555</v>
      </c>
      <c r="F43" s="55">
        <f t="shared" si="9"/>
        <v>30776</v>
      </c>
      <c r="G43" s="55">
        <f t="shared" si="9"/>
        <v>261038</v>
      </c>
      <c r="H43" s="56">
        <f t="shared" si="9"/>
        <v>370554</v>
      </c>
      <c r="I43" s="75">
        <v>273654</v>
      </c>
    </row>
    <row r="44" spans="1:10" x14ac:dyDescent="0.2">
      <c r="A44" s="32" t="s">
        <v>15</v>
      </c>
      <c r="B44" s="33" t="s">
        <v>9</v>
      </c>
      <c r="C44" s="34"/>
      <c r="D44" s="34"/>
      <c r="E44" s="34"/>
      <c r="F44" s="34"/>
      <c r="G44" s="34">
        <v>0</v>
      </c>
      <c r="H44" s="35">
        <f t="shared" ref="H44:H52" si="10">SUM(D44:G44)</f>
        <v>0</v>
      </c>
    </row>
    <row r="45" spans="1:10" x14ac:dyDescent="0.2">
      <c r="A45" s="32" t="s">
        <v>15</v>
      </c>
      <c r="B45" s="33" t="s">
        <v>10</v>
      </c>
      <c r="C45" s="34"/>
      <c r="D45" s="34"/>
      <c r="E45" s="34"/>
      <c r="F45" s="77">
        <v>30776</v>
      </c>
      <c r="G45" s="77">
        <f>2605+95777+11750</f>
        <v>110132</v>
      </c>
      <c r="H45" s="35">
        <f t="shared" si="10"/>
        <v>140908</v>
      </c>
    </row>
    <row r="46" spans="1:10" x14ac:dyDescent="0.2">
      <c r="A46" s="32" t="s">
        <v>45</v>
      </c>
      <c r="B46" s="33" t="s">
        <v>46</v>
      </c>
      <c r="C46" s="34"/>
      <c r="D46" s="34"/>
      <c r="E46" s="34"/>
      <c r="G46" s="33"/>
      <c r="H46" s="35">
        <f t="shared" si="10"/>
        <v>0</v>
      </c>
    </row>
    <row r="47" spans="1:10" x14ac:dyDescent="0.2">
      <c r="A47" s="32" t="s">
        <v>34</v>
      </c>
      <c r="B47" s="33" t="s">
        <v>11</v>
      </c>
      <c r="C47" s="34"/>
      <c r="D47" s="34"/>
      <c r="E47" s="34"/>
      <c r="F47" s="34"/>
      <c r="G47" s="34"/>
      <c r="H47" s="35">
        <f t="shared" si="10"/>
        <v>0</v>
      </c>
    </row>
    <row r="48" spans="1:10" x14ac:dyDescent="0.2">
      <c r="A48" s="32" t="s">
        <v>16</v>
      </c>
      <c r="B48" s="33" t="s">
        <v>12</v>
      </c>
      <c r="C48" s="34"/>
      <c r="D48" s="34"/>
      <c r="E48" s="34">
        <v>555</v>
      </c>
      <c r="F48" s="34"/>
      <c r="G48" s="34">
        <f>10166+6000</f>
        <v>16166</v>
      </c>
      <c r="H48" s="35">
        <f t="shared" si="10"/>
        <v>16721</v>
      </c>
    </row>
    <row r="49" spans="1:10" x14ac:dyDescent="0.2">
      <c r="A49" s="32" t="s">
        <v>17</v>
      </c>
      <c r="B49" s="33" t="s">
        <v>8</v>
      </c>
      <c r="C49" s="34"/>
      <c r="D49" s="34"/>
      <c r="E49" s="34"/>
      <c r="F49" s="34"/>
      <c r="G49" s="34">
        <v>3815</v>
      </c>
      <c r="H49" s="35">
        <f t="shared" si="10"/>
        <v>3815</v>
      </c>
    </row>
    <row r="50" spans="1:10" x14ac:dyDescent="0.2">
      <c r="A50" s="32" t="s">
        <v>18</v>
      </c>
      <c r="B50" s="33" t="s">
        <v>13</v>
      </c>
      <c r="C50" s="34"/>
      <c r="D50" s="34"/>
      <c r="E50" s="34"/>
      <c r="F50" s="34"/>
      <c r="G50" s="34">
        <v>23</v>
      </c>
      <c r="H50" s="35">
        <f t="shared" si="10"/>
        <v>23</v>
      </c>
    </row>
    <row r="51" spans="1:10" x14ac:dyDescent="0.2">
      <c r="A51" s="32" t="s">
        <v>19</v>
      </c>
      <c r="B51" s="33" t="s">
        <v>14</v>
      </c>
      <c r="C51" s="34"/>
      <c r="D51" s="34">
        <f>3580+15000+47993</f>
        <v>66573</v>
      </c>
      <c r="E51" s="34"/>
      <c r="F51" s="34"/>
      <c r="G51" s="34">
        <f>2107+54536+14137</f>
        <v>70780</v>
      </c>
      <c r="H51" s="35">
        <f t="shared" si="10"/>
        <v>137353</v>
      </c>
    </row>
    <row r="52" spans="1:10" ht="15" thickBot="1" x14ac:dyDescent="0.25">
      <c r="A52" s="36" t="s">
        <v>19</v>
      </c>
      <c r="B52" s="37" t="s">
        <v>47</v>
      </c>
      <c r="C52" s="38"/>
      <c r="D52" s="38">
        <v>11612</v>
      </c>
      <c r="E52" s="38"/>
      <c r="F52" s="38"/>
      <c r="G52" s="38">
        <v>60122</v>
      </c>
      <c r="H52" s="39">
        <f t="shared" si="10"/>
        <v>71734</v>
      </c>
      <c r="J52" s="75">
        <f>2605+95777+42526+10721+6000+23+5687+69536+71734+62130+3815</f>
        <v>370554</v>
      </c>
    </row>
    <row r="53" spans="1:10" ht="15" x14ac:dyDescent="0.25">
      <c r="A53" s="57" t="s">
        <v>27</v>
      </c>
      <c r="B53" s="58"/>
      <c r="C53" s="59">
        <v>0</v>
      </c>
      <c r="D53" s="59">
        <f>SUM(D54:D63)</f>
        <v>210572</v>
      </c>
      <c r="E53" s="59">
        <f t="shared" ref="E53:H53" si="11">SUM(E54:E63)</f>
        <v>0</v>
      </c>
      <c r="F53" s="59">
        <f t="shared" si="11"/>
        <v>0</v>
      </c>
      <c r="G53" s="59">
        <f t="shared" si="11"/>
        <v>182569</v>
      </c>
      <c r="H53" s="60">
        <f t="shared" si="11"/>
        <v>393141</v>
      </c>
      <c r="I53" s="75">
        <v>245984</v>
      </c>
    </row>
    <row r="54" spans="1:10" x14ac:dyDescent="0.2">
      <c r="A54" s="32" t="s">
        <v>15</v>
      </c>
      <c r="B54" s="33" t="s">
        <v>9</v>
      </c>
      <c r="C54" s="34"/>
      <c r="D54" s="34"/>
      <c r="E54" s="34"/>
      <c r="F54" s="34"/>
      <c r="G54" s="34"/>
      <c r="H54" s="35">
        <f t="shared" ref="H54:H63" si="12">SUM(D54:G54)</f>
        <v>0</v>
      </c>
    </row>
    <row r="55" spans="1:10" x14ac:dyDescent="0.2">
      <c r="A55" s="32" t="s">
        <v>15</v>
      </c>
      <c r="B55" s="33" t="s">
        <v>10</v>
      </c>
      <c r="C55" s="34"/>
      <c r="D55" s="34"/>
      <c r="E55" s="34"/>
      <c r="F55" s="34"/>
      <c r="G55" s="34"/>
      <c r="H55" s="35">
        <f t="shared" si="12"/>
        <v>0</v>
      </c>
    </row>
    <row r="56" spans="1:10" x14ac:dyDescent="0.2">
      <c r="A56" s="32" t="s">
        <v>45</v>
      </c>
      <c r="B56" s="33" t="s">
        <v>46</v>
      </c>
      <c r="C56" s="34"/>
      <c r="D56" s="34"/>
      <c r="E56" s="34"/>
      <c r="F56" s="34"/>
      <c r="G56" s="34"/>
      <c r="H56" s="35">
        <f t="shared" si="12"/>
        <v>0</v>
      </c>
    </row>
    <row r="57" spans="1:10" x14ac:dyDescent="0.2">
      <c r="A57" s="32" t="s">
        <v>34</v>
      </c>
      <c r="B57" s="33" t="s">
        <v>11</v>
      </c>
      <c r="C57" s="34"/>
      <c r="D57" s="34"/>
      <c r="E57" s="34"/>
      <c r="F57" s="34"/>
      <c r="G57" s="34">
        <v>3980</v>
      </c>
      <c r="H57" s="35">
        <f t="shared" si="12"/>
        <v>3980</v>
      </c>
    </row>
    <row r="58" spans="1:10" x14ac:dyDescent="0.2">
      <c r="A58" s="32" t="s">
        <v>16</v>
      </c>
      <c r="B58" s="33" t="s">
        <v>12</v>
      </c>
      <c r="C58" s="34"/>
      <c r="D58" s="34"/>
      <c r="E58" s="34"/>
      <c r="F58" s="34"/>
      <c r="G58" s="34">
        <f>15300+27414+11400+900</f>
        <v>55014</v>
      </c>
      <c r="H58" s="35">
        <f t="shared" si="12"/>
        <v>55014</v>
      </c>
    </row>
    <row r="59" spans="1:10" x14ac:dyDescent="0.2">
      <c r="A59" s="32" t="s">
        <v>17</v>
      </c>
      <c r="B59" s="33" t="s">
        <v>8</v>
      </c>
      <c r="C59" s="34"/>
      <c r="D59" s="34"/>
      <c r="E59" s="34"/>
      <c r="F59" s="34"/>
      <c r="G59" s="34"/>
      <c r="H59" s="35">
        <f t="shared" si="12"/>
        <v>0</v>
      </c>
    </row>
    <row r="60" spans="1:10" x14ac:dyDescent="0.2">
      <c r="A60" s="32" t="s">
        <v>18</v>
      </c>
      <c r="B60" s="33" t="s">
        <v>13</v>
      </c>
      <c r="C60" s="34"/>
      <c r="D60" s="34">
        <f>3800+1500+3838</f>
        <v>9138</v>
      </c>
      <c r="E60" s="34"/>
      <c r="F60" s="34"/>
      <c r="G60" s="34">
        <f>2000+3500+3614</f>
        <v>9114</v>
      </c>
      <c r="H60" s="35">
        <f t="shared" si="12"/>
        <v>18252</v>
      </c>
    </row>
    <row r="61" spans="1:10" x14ac:dyDescent="0.2">
      <c r="A61" s="32" t="s">
        <v>19</v>
      </c>
      <c r="B61" s="33" t="s">
        <v>14</v>
      </c>
      <c r="C61" s="34"/>
      <c r="D61" s="34">
        <f>98725+72641</f>
        <v>171366</v>
      </c>
      <c r="E61" s="34"/>
      <c r="F61" s="34"/>
      <c r="G61" s="34">
        <f>28346+19980</f>
        <v>48326</v>
      </c>
      <c r="H61" s="35">
        <f t="shared" si="12"/>
        <v>219692</v>
      </c>
    </row>
    <row r="62" spans="1:10" x14ac:dyDescent="0.2">
      <c r="A62" s="32" t="s">
        <v>19</v>
      </c>
      <c r="B62" s="33" t="s">
        <v>47</v>
      </c>
      <c r="C62" s="34"/>
      <c r="D62" s="34">
        <v>30068</v>
      </c>
      <c r="E62" s="34"/>
      <c r="F62" s="34"/>
      <c r="G62" s="34">
        <v>46932</v>
      </c>
      <c r="H62" s="35">
        <f t="shared" si="12"/>
        <v>77000</v>
      </c>
    </row>
    <row r="63" spans="1:10" ht="15" thickBot="1" x14ac:dyDescent="0.25">
      <c r="A63" s="36" t="s">
        <v>20</v>
      </c>
      <c r="B63" s="37" t="s">
        <v>21</v>
      </c>
      <c r="C63" s="38"/>
      <c r="D63" s="38"/>
      <c r="E63" s="38"/>
      <c r="F63" s="38"/>
      <c r="G63" s="38">
        <v>19203</v>
      </c>
      <c r="H63" s="61">
        <f t="shared" si="12"/>
        <v>19203</v>
      </c>
      <c r="J63" s="75">
        <f>15300+3980+27414+11400+3500+7300+7452+77000+127071+92621+19203+900</f>
        <v>393141</v>
      </c>
    </row>
    <row r="64" spans="1:10" ht="5.25" customHeight="1" thickBot="1" x14ac:dyDescent="0.25">
      <c r="A64" s="62"/>
      <c r="B64" s="63"/>
      <c r="C64" s="63"/>
      <c r="D64" s="64"/>
      <c r="E64" s="64"/>
      <c r="F64" s="64"/>
      <c r="G64" s="64"/>
      <c r="H64" s="65"/>
    </row>
    <row r="65" spans="1:10" s="70" customFormat="1" ht="16.5" thickBot="1" x14ac:dyDescent="0.3">
      <c r="A65" s="66"/>
      <c r="B65" s="67" t="s">
        <v>6</v>
      </c>
      <c r="C65" s="68">
        <v>0</v>
      </c>
      <c r="D65" s="68">
        <f>D53+D43+D33+D23+D13+D3</f>
        <v>703977</v>
      </c>
      <c r="E65" s="68">
        <f t="shared" ref="E65:H65" si="13">E53+E43+E33+E23+E13+E3</f>
        <v>5090</v>
      </c>
      <c r="F65" s="68">
        <f t="shared" si="13"/>
        <v>30776</v>
      </c>
      <c r="G65" s="68">
        <f t="shared" si="13"/>
        <v>2234246</v>
      </c>
      <c r="H65" s="69">
        <f t="shared" si="13"/>
        <v>2974089</v>
      </c>
    </row>
    <row r="67" spans="1:10" ht="15" x14ac:dyDescent="0.2">
      <c r="J67" s="76">
        <f>SUM(J4:J63)</f>
        <v>2974089</v>
      </c>
    </row>
    <row r="68" spans="1:10" ht="15" x14ac:dyDescent="0.2">
      <c r="J68" s="76">
        <f>'Souhrn '!H15</f>
        <v>3097392</v>
      </c>
    </row>
    <row r="69" spans="1:10" x14ac:dyDescent="0.2">
      <c r="B69" s="33" t="s">
        <v>9</v>
      </c>
      <c r="D69" s="34">
        <f t="shared" ref="D69:D75" si="14">D4+D14+D24+D34+D44+D54</f>
        <v>0</v>
      </c>
      <c r="E69" s="34">
        <f t="shared" ref="E69:H69" si="15">E4+E14+E24+E34+E44+E54</f>
        <v>0</v>
      </c>
      <c r="F69" s="34">
        <f t="shared" si="15"/>
        <v>0</v>
      </c>
      <c r="G69" s="34">
        <f t="shared" si="15"/>
        <v>31945</v>
      </c>
      <c r="H69" s="34">
        <f t="shared" si="15"/>
        <v>31945</v>
      </c>
      <c r="J69" s="75">
        <f>J68-J67</f>
        <v>123303</v>
      </c>
    </row>
    <row r="70" spans="1:10" x14ac:dyDescent="0.2">
      <c r="B70" s="33" t="s">
        <v>10</v>
      </c>
      <c r="D70" s="34">
        <f t="shared" si="14"/>
        <v>0</v>
      </c>
      <c r="E70" s="34">
        <f t="shared" ref="E70:H70" si="16">E5+E15+E25+E35+E45+E55</f>
        <v>0</v>
      </c>
      <c r="F70" s="34">
        <f t="shared" si="16"/>
        <v>30776</v>
      </c>
      <c r="G70" s="34">
        <f t="shared" si="16"/>
        <v>382964</v>
      </c>
      <c r="H70" s="34">
        <f t="shared" si="16"/>
        <v>413740</v>
      </c>
    </row>
    <row r="71" spans="1:10" x14ac:dyDescent="0.2">
      <c r="B71" s="33" t="s">
        <v>46</v>
      </c>
      <c r="D71" s="34">
        <f t="shared" si="14"/>
        <v>0</v>
      </c>
      <c r="E71" s="34">
        <f t="shared" ref="E71:H71" si="17">E6+E16+E26+E36+E46+E56</f>
        <v>0</v>
      </c>
      <c r="F71" s="34">
        <f t="shared" si="17"/>
        <v>0</v>
      </c>
      <c r="G71" s="34">
        <f t="shared" si="17"/>
        <v>55821</v>
      </c>
      <c r="H71" s="34">
        <f t="shared" si="17"/>
        <v>55821</v>
      </c>
    </row>
    <row r="72" spans="1:10" x14ac:dyDescent="0.2">
      <c r="B72" s="33" t="s">
        <v>11</v>
      </c>
      <c r="D72" s="34">
        <f t="shared" si="14"/>
        <v>0</v>
      </c>
      <c r="E72" s="34">
        <f t="shared" ref="E72:H72" si="18">E7+E17+E27+E37+E47+E57</f>
        <v>1335</v>
      </c>
      <c r="F72" s="34">
        <f t="shared" si="18"/>
        <v>0</v>
      </c>
      <c r="G72" s="34">
        <f t="shared" si="18"/>
        <v>54336</v>
      </c>
      <c r="H72" s="34">
        <f t="shared" si="18"/>
        <v>55671</v>
      </c>
    </row>
    <row r="73" spans="1:10" x14ac:dyDescent="0.2">
      <c r="B73" s="33" t="s">
        <v>12</v>
      </c>
      <c r="D73" s="34">
        <f t="shared" si="14"/>
        <v>0</v>
      </c>
      <c r="E73" s="34">
        <f t="shared" ref="E73:H73" si="19">E8+E18+E28+E38+E48+E58</f>
        <v>3755</v>
      </c>
      <c r="F73" s="34">
        <f t="shared" si="19"/>
        <v>0</v>
      </c>
      <c r="G73" s="34">
        <f t="shared" si="19"/>
        <v>800961</v>
      </c>
      <c r="H73" s="34">
        <f t="shared" si="19"/>
        <v>804716</v>
      </c>
    </row>
    <row r="74" spans="1:10" x14ac:dyDescent="0.2">
      <c r="B74" s="33" t="s">
        <v>8</v>
      </c>
      <c r="D74" s="34">
        <f t="shared" si="14"/>
        <v>0</v>
      </c>
      <c r="E74" s="34">
        <f t="shared" ref="E74:H74" si="20">E9+E19+E29+E39+E49+E59</f>
        <v>0</v>
      </c>
      <c r="F74" s="34">
        <f t="shared" si="20"/>
        <v>0</v>
      </c>
      <c r="G74" s="79">
        <f t="shared" si="20"/>
        <v>27051</v>
      </c>
      <c r="H74" s="34">
        <f t="shared" si="20"/>
        <v>27051</v>
      </c>
    </row>
    <row r="75" spans="1:10" x14ac:dyDescent="0.2">
      <c r="B75" s="33" t="s">
        <v>13</v>
      </c>
      <c r="D75" s="34">
        <f t="shared" si="14"/>
        <v>11138</v>
      </c>
      <c r="E75" s="34">
        <f t="shared" ref="E75:H75" si="21">E10+E20+E30+E40+E50+E60</f>
        <v>0</v>
      </c>
      <c r="F75" s="34">
        <f t="shared" si="21"/>
        <v>0</v>
      </c>
      <c r="G75" s="34">
        <f t="shared" si="21"/>
        <v>33707</v>
      </c>
      <c r="H75" s="34">
        <f t="shared" si="21"/>
        <v>44845</v>
      </c>
    </row>
    <row r="76" spans="1:10" x14ac:dyDescent="0.2">
      <c r="B76" s="33" t="s">
        <v>14</v>
      </c>
      <c r="D76" s="34">
        <f t="shared" ref="D76:H76" si="22">D11+D21+D31+D41+D51+D61</f>
        <v>550024</v>
      </c>
      <c r="E76" s="34">
        <f t="shared" si="22"/>
        <v>0</v>
      </c>
      <c r="F76" s="34">
        <f t="shared" si="22"/>
        <v>0</v>
      </c>
      <c r="G76" s="34">
        <f t="shared" si="22"/>
        <v>519801</v>
      </c>
      <c r="H76" s="34">
        <f t="shared" si="22"/>
        <v>1069825</v>
      </c>
    </row>
    <row r="77" spans="1:10" x14ac:dyDescent="0.2">
      <c r="B77" s="33" t="s">
        <v>47</v>
      </c>
      <c r="D77" s="34">
        <f>D12+D22+D32+D42+D52+D62</f>
        <v>142815</v>
      </c>
      <c r="E77" s="34">
        <f t="shared" ref="E77:H77" si="23">E12+E22+E32+E42+E52+E62</f>
        <v>0</v>
      </c>
      <c r="F77" s="34">
        <f t="shared" si="23"/>
        <v>0</v>
      </c>
      <c r="G77" s="34">
        <f t="shared" si="23"/>
        <v>308457</v>
      </c>
      <c r="H77" s="34">
        <f t="shared" si="23"/>
        <v>451272</v>
      </c>
    </row>
    <row r="78" spans="1:10" x14ac:dyDescent="0.2">
      <c r="B78" s="33" t="s">
        <v>21</v>
      </c>
      <c r="D78" s="34">
        <f>D63</f>
        <v>0</v>
      </c>
      <c r="E78" s="34">
        <f t="shared" ref="E78:H78" si="24">E63</f>
        <v>0</v>
      </c>
      <c r="F78" s="34">
        <f t="shared" si="24"/>
        <v>0</v>
      </c>
      <c r="G78" s="34">
        <f t="shared" si="24"/>
        <v>19203</v>
      </c>
      <c r="H78" s="34">
        <f t="shared" si="24"/>
        <v>19203</v>
      </c>
    </row>
    <row r="79" spans="1:10" x14ac:dyDescent="0.2">
      <c r="D79" s="75">
        <f>SUM(D69:D78)</f>
        <v>703977</v>
      </c>
      <c r="E79" s="75">
        <f t="shared" ref="E79:H79" si="25">SUM(E69:E78)</f>
        <v>5090</v>
      </c>
      <c r="F79" s="75">
        <f t="shared" si="25"/>
        <v>30776</v>
      </c>
      <c r="G79" s="75">
        <f t="shared" si="25"/>
        <v>2234246</v>
      </c>
      <c r="H79" s="75">
        <f t="shared" si="25"/>
        <v>2974089</v>
      </c>
    </row>
  </sheetData>
  <mergeCells count="1">
    <mergeCell ref="A2:B2"/>
  </mergeCells>
  <pageMargins left="0.70866141732283472" right="0.70866141732283472" top="0.78740157480314965" bottom="0.78740157480314965" header="0.31496062992125984" footer="0.31496062992125984"/>
  <pageSetup paperSize="9" scale="73" firstPageNumber="2" orientation="portrait" useFirstPageNumber="1" r:id="rId1"/>
  <headerFooter>
    <oddFooter>&amp;L&amp;"Arial,Kurzíva"&amp;12Návrh rozpočtu na rok 2025
Příloha č. 5) - Opravy, investice, nákupy a dotační projekty&amp;R&amp;"Arial,Kurzíva"&amp;12Strana &amp;P (celkem 81)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Souhrn </vt:lpstr>
      <vt:lpstr>Souhrn dle oblastí</vt:lpstr>
      <vt:lpstr>'Souhrn '!Oblast_tisku</vt:lpstr>
      <vt:lpstr>'Souhrn dle oblastí'!Oblast_tisku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2024-11-26T09:39:38Z</cp:lastPrinted>
  <dcterms:created xsi:type="dcterms:W3CDTF">2021-08-18T10:28:17Z</dcterms:created>
  <dcterms:modified xsi:type="dcterms:W3CDTF">2024-11-26T09:41:16Z</dcterms:modified>
</cp:coreProperties>
</file>