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1D0886FD-C2BF-4EF9-99A7-A5161D055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ánky" sheetId="3" r:id="rId1"/>
    <sheet name="bilance " sheetId="4" r:id="rId2"/>
    <sheet name="a) Příjmy" sheetId="7" r:id="rId3"/>
    <sheet name="b) Výdaje" sheetId="8" r:id="rId4"/>
    <sheet name="c) Dotační tituly" sheetId="9" r:id="rId5"/>
    <sheet name="d) Příspěvkové organizace" sheetId="10" r:id="rId6"/>
    <sheet name="e) FSP" sheetId="11" r:id="rId7"/>
    <sheet name="f) Fond voda" sheetId="12" r:id="rId8"/>
    <sheet name="g) účelové dotace" sheetId="16" r:id="rId9"/>
    <sheet name="h) Financování" sheetId="14" r:id="rId10"/>
    <sheet name="i) Investice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Database">#REF!</definedName>
    <definedName name="Makro1">#N/A</definedName>
    <definedName name="_xlnm.Print_Titles" localSheetId="4">'c) Dotační tituly'!$3:$5</definedName>
    <definedName name="_xlnm.Print_Area" localSheetId="2">'a) Příjmy'!$A$1:$G$93</definedName>
    <definedName name="_xlnm.Print_Area" localSheetId="3">'b) Výdaje'!$A$1:$I$58</definedName>
    <definedName name="_xlnm.Print_Area" localSheetId="1">'bilance '!$A$1:$I$69</definedName>
    <definedName name="_xlnm.Print_Area" localSheetId="4">'c) Dotační tituly'!$A$1:$H$116</definedName>
    <definedName name="_xlnm.Print_Area" localSheetId="5">'d) Příspěvkové organizace'!$A$1:$J$101</definedName>
    <definedName name="_xlnm.Print_Area" localSheetId="6">'e) FSP'!$A$1:$G$16</definedName>
    <definedName name="_xlnm.Print_Area" localSheetId="7">'f) Fond voda'!$A$1:$G$36</definedName>
    <definedName name="_xlnm.Print_Area" localSheetId="8">'g) účelové dotace'!$A$1:$I$33</definedName>
    <definedName name="_xlnm.Print_Area" localSheetId="9">'h) Financování'!$B$1:$H$52</definedName>
    <definedName name="_xlnm.Print_Area" localSheetId="10">'i) Investice'!$A$1:$H$20</definedName>
    <definedName name="_xlnm.Print_Area" localSheetId="0">stránky!$A$1:$I$100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3" l="1"/>
  <c r="G50" i="14"/>
  <c r="G49" i="14"/>
  <c r="G62" i="9"/>
  <c r="G61" i="9"/>
  <c r="G63" i="9"/>
  <c r="H28" i="4"/>
  <c r="G105" i="9"/>
  <c r="G104" i="9"/>
  <c r="H41" i="4" l="1"/>
  <c r="E41" i="4"/>
  <c r="E40" i="4"/>
  <c r="H35" i="4"/>
  <c r="H38" i="4"/>
  <c r="E38" i="4"/>
  <c r="H37" i="4"/>
  <c r="E37" i="4"/>
  <c r="H36" i="4"/>
  <c r="E36" i="4"/>
  <c r="E35" i="4"/>
  <c r="H33" i="4"/>
  <c r="E33" i="4"/>
  <c r="H32" i="4"/>
  <c r="E32" i="4"/>
  <c r="H31" i="4"/>
  <c r="E31" i="4"/>
  <c r="I37" i="4" l="1"/>
  <c r="I36" i="4"/>
  <c r="I38" i="4"/>
  <c r="E39" i="4"/>
  <c r="H39" i="4" l="1"/>
  <c r="H34" i="4" l="1"/>
  <c r="E34" i="4" l="1"/>
  <c r="G26" i="14" l="1"/>
  <c r="F26" i="14"/>
  <c r="E26" i="14"/>
  <c r="G40" i="14"/>
  <c r="H40" i="14" s="1"/>
  <c r="G45" i="14"/>
  <c r="G44" i="14" s="1"/>
  <c r="G39" i="14" s="1"/>
  <c r="H39" i="14" s="1"/>
  <c r="F41" i="14"/>
  <c r="E41" i="14"/>
  <c r="F10" i="14"/>
  <c r="E10" i="14"/>
  <c r="G9" i="14"/>
  <c r="H9" i="14" s="1"/>
  <c r="G41" i="14" l="1"/>
  <c r="H41" i="14" s="1"/>
  <c r="G10" i="14"/>
  <c r="H10" i="14" s="1"/>
  <c r="E69" i="4"/>
  <c r="E87" i="7"/>
  <c r="D87" i="7"/>
  <c r="F81" i="7"/>
  <c r="D81" i="7"/>
  <c r="G80" i="7"/>
  <c r="E76" i="7"/>
  <c r="E81" i="7" s="1"/>
  <c r="F65" i="7"/>
  <c r="G65" i="7" s="1"/>
  <c r="E65" i="7"/>
  <c r="D65" i="7"/>
  <c r="G64" i="7"/>
  <c r="G63" i="7"/>
  <c r="G62" i="7"/>
  <c r="G61" i="7"/>
  <c r="E47" i="7"/>
  <c r="D47" i="7"/>
  <c r="F46" i="7"/>
  <c r="F87" i="7" s="1"/>
  <c r="G87" i="7" s="1"/>
  <c r="G45" i="7"/>
  <c r="G44" i="7"/>
  <c r="G43" i="7"/>
  <c r="F37" i="7"/>
  <c r="E37" i="7"/>
  <c r="D37" i="7"/>
  <c r="F36" i="7"/>
  <c r="E36" i="7"/>
  <c r="D36" i="7"/>
  <c r="F35" i="7"/>
  <c r="E35" i="7"/>
  <c r="G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F28" i="7"/>
  <c r="F27" i="7"/>
  <c r="F26" i="7"/>
  <c r="E26" i="7"/>
  <c r="D26" i="7"/>
  <c r="F25" i="7"/>
  <c r="E25" i="7"/>
  <c r="D25" i="7"/>
  <c r="F24" i="7"/>
  <c r="F23" i="7"/>
  <c r="E23" i="7"/>
  <c r="D23" i="7"/>
  <c r="F22" i="7"/>
  <c r="E22" i="7"/>
  <c r="D22" i="7"/>
  <c r="F21" i="7"/>
  <c r="E21" i="7"/>
  <c r="D21" i="7"/>
  <c r="F20" i="7"/>
  <c r="G20" i="7" s="1"/>
  <c r="E20" i="7"/>
  <c r="D20" i="7"/>
  <c r="F19" i="7"/>
  <c r="G19" i="7" s="1"/>
  <c r="E19" i="7"/>
  <c r="D19" i="7"/>
  <c r="F18" i="7"/>
  <c r="E18" i="7"/>
  <c r="D18" i="7"/>
  <c r="F17" i="7"/>
  <c r="E17" i="7"/>
  <c r="D17" i="7"/>
  <c r="F16" i="7"/>
  <c r="G16" i="7" s="1"/>
  <c r="E16" i="7"/>
  <c r="D16" i="7"/>
  <c r="F15" i="7"/>
  <c r="E15" i="7"/>
  <c r="D15" i="7"/>
  <c r="F14" i="7"/>
  <c r="E14" i="7"/>
  <c r="D14" i="7"/>
  <c r="F13" i="7"/>
  <c r="E13" i="7"/>
  <c r="D13" i="7"/>
  <c r="F11" i="7"/>
  <c r="G11" i="7" s="1"/>
  <c r="E11" i="7"/>
  <c r="D11" i="7"/>
  <c r="F10" i="7"/>
  <c r="G10" i="7" s="1"/>
  <c r="E10" i="7"/>
  <c r="D10" i="7"/>
  <c r="F9" i="7"/>
  <c r="E9" i="7"/>
  <c r="D9" i="7"/>
  <c r="F8" i="7"/>
  <c r="E8" i="7"/>
  <c r="D8" i="7"/>
  <c r="F7" i="7"/>
  <c r="E7" i="7"/>
  <c r="D7" i="7"/>
  <c r="H19" i="4"/>
  <c r="H18" i="4"/>
  <c r="I18" i="4" s="1"/>
  <c r="H17" i="4"/>
  <c r="I17" i="4" s="1"/>
  <c r="H15" i="4"/>
  <c r="H16" i="4"/>
  <c r="I16" i="4" s="1"/>
  <c r="H14" i="4"/>
  <c r="H11" i="4"/>
  <c r="H13" i="4"/>
  <c r="H12" i="4"/>
  <c r="H10" i="4"/>
  <c r="H9" i="4"/>
  <c r="H8" i="4"/>
  <c r="H7" i="4"/>
  <c r="H6" i="4"/>
  <c r="H5" i="4"/>
  <c r="C15" i="13"/>
  <c r="G14" i="13"/>
  <c r="H14" i="13" s="1"/>
  <c r="G13" i="13"/>
  <c r="D13" i="13"/>
  <c r="G12" i="13"/>
  <c r="D12" i="13"/>
  <c r="G11" i="13"/>
  <c r="D11" i="13"/>
  <c r="G10" i="13"/>
  <c r="H10" i="13" s="1"/>
  <c r="G9" i="13"/>
  <c r="E9" i="13"/>
  <c r="G8" i="13"/>
  <c r="E8" i="13"/>
  <c r="G7" i="13"/>
  <c r="G6" i="13"/>
  <c r="F6" i="13"/>
  <c r="G5" i="13"/>
  <c r="E15" i="13" l="1"/>
  <c r="H9" i="13"/>
  <c r="G23" i="7"/>
  <c r="H6" i="13"/>
  <c r="H12" i="13"/>
  <c r="H11" i="13"/>
  <c r="G13" i="7"/>
  <c r="G21" i="7"/>
  <c r="G15" i="7"/>
  <c r="D12" i="7"/>
  <c r="D38" i="7" s="1"/>
  <c r="D67" i="7" s="1"/>
  <c r="D86" i="7" s="1"/>
  <c r="D88" i="7" s="1"/>
  <c r="G9" i="7"/>
  <c r="G14" i="7"/>
  <c r="G18" i="7"/>
  <c r="G22" i="7"/>
  <c r="E12" i="7"/>
  <c r="E38" i="7" s="1"/>
  <c r="E67" i="7" s="1"/>
  <c r="E86" i="7" s="1"/>
  <c r="E88" i="7" s="1"/>
  <c r="G8" i="7"/>
  <c r="G17" i="7"/>
  <c r="F12" i="7"/>
  <c r="G12" i="7" s="1"/>
  <c r="G7" i="7"/>
  <c r="G25" i="7"/>
  <c r="G32" i="7"/>
  <c r="G37" i="7"/>
  <c r="G31" i="7"/>
  <c r="I37" i="7"/>
  <c r="H8" i="13"/>
  <c r="G30" i="7"/>
  <c r="G15" i="13"/>
  <c r="F15" i="13"/>
  <c r="D15" i="13"/>
  <c r="I34" i="7"/>
  <c r="G26" i="7"/>
  <c r="G33" i="7"/>
  <c r="I38" i="7"/>
  <c r="G36" i="7"/>
  <c r="F47" i="7"/>
  <c r="G47" i="7" s="1"/>
  <c r="G46" i="7"/>
  <c r="H5" i="13"/>
  <c r="H7" i="13"/>
  <c r="H13" i="13"/>
  <c r="H57" i="4"/>
  <c r="H56" i="4"/>
  <c r="H55" i="4"/>
  <c r="H54" i="4"/>
  <c r="H53" i="4"/>
  <c r="H52" i="4"/>
  <c r="H51" i="4"/>
  <c r="H50" i="4"/>
  <c r="H49" i="4"/>
  <c r="H48" i="4"/>
  <c r="H47" i="4"/>
  <c r="H46" i="4"/>
  <c r="I15" i="13" l="1"/>
  <c r="F38" i="7"/>
  <c r="F67" i="7" s="1"/>
  <c r="F86" i="7" s="1"/>
  <c r="I39" i="7"/>
  <c r="I40" i="7" s="1"/>
  <c r="H15" i="13"/>
  <c r="I16" i="13" s="1"/>
  <c r="G67" i="7" l="1"/>
  <c r="G38" i="7"/>
  <c r="G86" i="7"/>
  <c r="F88" i="7"/>
  <c r="G88" i="7" s="1"/>
  <c r="H44" i="4"/>
  <c r="E12" i="16"/>
  <c r="D12" i="16"/>
  <c r="H11" i="16"/>
  <c r="G11" i="16"/>
  <c r="H10" i="16"/>
  <c r="G10" i="16"/>
  <c r="F10" i="16"/>
  <c r="H9" i="16"/>
  <c r="G9" i="16"/>
  <c r="F9" i="16"/>
  <c r="E9" i="16"/>
  <c r="H8" i="16"/>
  <c r="G8" i="16"/>
  <c r="F8" i="16"/>
  <c r="H7" i="16"/>
  <c r="G7" i="16"/>
  <c r="F7" i="16"/>
  <c r="E7" i="16"/>
  <c r="F12" i="16" l="1"/>
  <c r="H12" i="16"/>
  <c r="G12" i="16"/>
  <c r="H43" i="4"/>
  <c r="E43" i="4"/>
  <c r="F36" i="12"/>
  <c r="F33" i="12"/>
  <c r="F30" i="12"/>
  <c r="F24" i="12"/>
  <c r="F21" i="12"/>
  <c r="F15" i="12"/>
  <c r="E15" i="12"/>
  <c r="G13" i="12"/>
  <c r="D12" i="12"/>
  <c r="G12" i="12" s="1"/>
  <c r="D11" i="12"/>
  <c r="D15" i="12" s="1"/>
  <c r="G15" i="12" l="1"/>
  <c r="G11" i="12"/>
  <c r="F69" i="11" l="1"/>
  <c r="F59" i="11"/>
  <c r="I43" i="11"/>
  <c r="E13" i="11" s="1"/>
  <c r="H43" i="11"/>
  <c r="D13" i="11" s="1"/>
  <c r="G13" i="11" s="1"/>
  <c r="F43" i="11"/>
  <c r="F39" i="11"/>
  <c r="F37" i="11"/>
  <c r="F36" i="11"/>
  <c r="F11" i="11" s="1"/>
  <c r="G11" i="11" s="1"/>
  <c r="F30" i="11"/>
  <c r="I19" i="11"/>
  <c r="H19" i="11"/>
  <c r="F19" i="11"/>
  <c r="F9" i="11" s="1"/>
  <c r="F14" i="11"/>
  <c r="E14" i="11"/>
  <c r="D14" i="11"/>
  <c r="G14" i="11" s="1"/>
  <c r="F13" i="11"/>
  <c r="F12" i="11"/>
  <c r="E12" i="11"/>
  <c r="D12" i="11"/>
  <c r="E11" i="11"/>
  <c r="D11" i="11"/>
  <c r="F10" i="11"/>
  <c r="E10" i="11"/>
  <c r="D10" i="11"/>
  <c r="E9" i="11"/>
  <c r="D9" i="11"/>
  <c r="E15" i="11" l="1"/>
  <c r="G10" i="11"/>
  <c r="D15" i="11"/>
  <c r="G12" i="11"/>
  <c r="G9" i="11"/>
  <c r="F15" i="11"/>
  <c r="G15" i="11" l="1"/>
  <c r="H42" i="4" l="1"/>
  <c r="E42" i="4"/>
  <c r="H40" i="4" l="1"/>
  <c r="G108" i="10"/>
  <c r="D107" i="10"/>
  <c r="D109" i="10" s="1"/>
  <c r="G93" i="10"/>
  <c r="F88" i="10"/>
  <c r="D84" i="10"/>
  <c r="G83" i="10"/>
  <c r="G77" i="10" s="1"/>
  <c r="D83" i="10"/>
  <c r="D82" i="10"/>
  <c r="D81" i="10"/>
  <c r="H69" i="10"/>
  <c r="F69" i="10"/>
  <c r="E69" i="10"/>
  <c r="H68" i="10"/>
  <c r="F68" i="10"/>
  <c r="E68" i="10"/>
  <c r="H67" i="10"/>
  <c r="F67" i="10"/>
  <c r="E67" i="10"/>
  <c r="D67" i="10"/>
  <c r="H66" i="10"/>
  <c r="F66" i="10"/>
  <c r="E66" i="10"/>
  <c r="D66" i="10"/>
  <c r="D89" i="10" s="1"/>
  <c r="G65" i="10"/>
  <c r="H64" i="10"/>
  <c r="F64" i="10"/>
  <c r="E64" i="10"/>
  <c r="D64" i="10"/>
  <c r="H63" i="10"/>
  <c r="F63" i="10"/>
  <c r="E63" i="10"/>
  <c r="D63" i="10"/>
  <c r="H62" i="10"/>
  <c r="F62" i="10"/>
  <c r="E62" i="10"/>
  <c r="D62" i="10"/>
  <c r="H61" i="10"/>
  <c r="F61" i="10"/>
  <c r="E61" i="10"/>
  <c r="D61" i="10"/>
  <c r="H60" i="10"/>
  <c r="F60" i="10"/>
  <c r="E60" i="10"/>
  <c r="H59" i="10"/>
  <c r="F59" i="10"/>
  <c r="E59" i="10"/>
  <c r="H58" i="10"/>
  <c r="F58" i="10"/>
  <c r="E58" i="10"/>
  <c r="D58" i="10"/>
  <c r="G57" i="10"/>
  <c r="H56" i="10"/>
  <c r="H92" i="10" s="1"/>
  <c r="F56" i="10"/>
  <c r="F55" i="10" s="1"/>
  <c r="E56" i="10"/>
  <c r="E92" i="10" s="1"/>
  <c r="H54" i="10"/>
  <c r="H88" i="10" s="1"/>
  <c r="E54" i="10"/>
  <c r="D54" i="10"/>
  <c r="H53" i="10"/>
  <c r="G53" i="10"/>
  <c r="G43" i="10" s="1"/>
  <c r="F53" i="10"/>
  <c r="E53" i="10"/>
  <c r="D53" i="10"/>
  <c r="H52" i="10"/>
  <c r="F52" i="10"/>
  <c r="E52" i="10"/>
  <c r="D52" i="10"/>
  <c r="H51" i="10"/>
  <c r="F51" i="10"/>
  <c r="E51" i="10"/>
  <c r="H50" i="10"/>
  <c r="H83" i="10" s="1"/>
  <c r="F50" i="10"/>
  <c r="F83" i="10" s="1"/>
  <c r="E50" i="10"/>
  <c r="E83" i="10" s="1"/>
  <c r="H49" i="10"/>
  <c r="F49" i="10"/>
  <c r="F82" i="10" s="1"/>
  <c r="E49" i="10"/>
  <c r="E82" i="10" s="1"/>
  <c r="H48" i="10"/>
  <c r="F48" i="10"/>
  <c r="E48" i="10"/>
  <c r="D48" i="10"/>
  <c r="H47" i="10"/>
  <c r="F47" i="10"/>
  <c r="E47" i="10"/>
  <c r="H46" i="10"/>
  <c r="F46" i="10"/>
  <c r="E46" i="10"/>
  <c r="H45" i="10"/>
  <c r="F45" i="10"/>
  <c r="E45" i="10"/>
  <c r="D45" i="10"/>
  <c r="H42" i="10"/>
  <c r="H100" i="10" s="1"/>
  <c r="F42" i="10"/>
  <c r="F100" i="10" s="1"/>
  <c r="E42" i="10"/>
  <c r="E100" i="10" s="1"/>
  <c r="H41" i="10"/>
  <c r="H99" i="10" s="1"/>
  <c r="F41" i="10"/>
  <c r="F99" i="10" s="1"/>
  <c r="E41" i="10"/>
  <c r="E99" i="10" s="1"/>
  <c r="H40" i="10"/>
  <c r="H98" i="10" s="1"/>
  <c r="F40" i="10"/>
  <c r="F98" i="10" s="1"/>
  <c r="E40" i="10"/>
  <c r="H39" i="10"/>
  <c r="F39" i="10"/>
  <c r="F97" i="10" s="1"/>
  <c r="E39" i="10"/>
  <c r="E97" i="10" s="1"/>
  <c r="D39" i="10"/>
  <c r="D97" i="10" s="1"/>
  <c r="H38" i="10"/>
  <c r="H96" i="10" s="1"/>
  <c r="F38" i="10"/>
  <c r="F96" i="10" s="1"/>
  <c r="E38" i="10"/>
  <c r="D38" i="10"/>
  <c r="D96" i="10" s="1"/>
  <c r="H37" i="10"/>
  <c r="F37" i="10"/>
  <c r="F95" i="10" s="1"/>
  <c r="E37" i="10"/>
  <c r="E95" i="10" s="1"/>
  <c r="D37" i="10"/>
  <c r="D95" i="10" s="1"/>
  <c r="H36" i="10"/>
  <c r="H94" i="10" s="1"/>
  <c r="F36" i="10"/>
  <c r="F94" i="10" s="1"/>
  <c r="E36" i="10"/>
  <c r="D36" i="10"/>
  <c r="D35" i="10" s="1"/>
  <c r="G35" i="10"/>
  <c r="H34" i="10"/>
  <c r="F34" i="10"/>
  <c r="E34" i="10"/>
  <c r="H33" i="10"/>
  <c r="F33" i="10"/>
  <c r="E33" i="10"/>
  <c r="H32" i="10"/>
  <c r="F32" i="10"/>
  <c r="E32" i="10"/>
  <c r="H31" i="10"/>
  <c r="F31" i="10"/>
  <c r="E31" i="10"/>
  <c r="H30" i="10"/>
  <c r="F30" i="10"/>
  <c r="E30" i="10"/>
  <c r="H29" i="10"/>
  <c r="F29" i="10"/>
  <c r="E29" i="10"/>
  <c r="H28" i="10"/>
  <c r="F28" i="10"/>
  <c r="E28" i="10"/>
  <c r="D28" i="10"/>
  <c r="D27" i="10" s="1"/>
  <c r="D26" i="10" s="1"/>
  <c r="G27" i="10"/>
  <c r="H25" i="10"/>
  <c r="H87" i="10" s="1"/>
  <c r="H24" i="10"/>
  <c r="G24" i="10"/>
  <c r="G17" i="10" s="1"/>
  <c r="F24" i="10"/>
  <c r="E24" i="10"/>
  <c r="D24" i="10"/>
  <c r="H23" i="10"/>
  <c r="F23" i="10"/>
  <c r="E23" i="10"/>
  <c r="H22" i="10"/>
  <c r="F22" i="10"/>
  <c r="E22" i="10"/>
  <c r="H21" i="10"/>
  <c r="F21" i="10"/>
  <c r="E21" i="10"/>
  <c r="H20" i="10"/>
  <c r="F20" i="10"/>
  <c r="E20" i="10"/>
  <c r="H19" i="10"/>
  <c r="F19" i="10"/>
  <c r="E19" i="10"/>
  <c r="H18" i="10"/>
  <c r="F18" i="10"/>
  <c r="E18" i="10"/>
  <c r="D18" i="10"/>
  <c r="H16" i="10"/>
  <c r="F16" i="10"/>
  <c r="E16" i="10"/>
  <c r="H15" i="10"/>
  <c r="F15" i="10"/>
  <c r="E15" i="10"/>
  <c r="H14" i="10"/>
  <c r="F14" i="10"/>
  <c r="E14" i="10"/>
  <c r="D14" i="10"/>
  <c r="H13" i="10"/>
  <c r="F13" i="10"/>
  <c r="E13" i="10"/>
  <c r="D13" i="10"/>
  <c r="H12" i="10"/>
  <c r="F12" i="10"/>
  <c r="E12" i="10"/>
  <c r="D12" i="10"/>
  <c r="H11" i="10"/>
  <c r="F11" i="10"/>
  <c r="E11" i="10"/>
  <c r="D11" i="10"/>
  <c r="H10" i="10"/>
  <c r="F10" i="10"/>
  <c r="E10" i="10"/>
  <c r="D10" i="10"/>
  <c r="G9" i="10"/>
  <c r="G26" i="10" l="1"/>
  <c r="F86" i="10"/>
  <c r="I20" i="10"/>
  <c r="I28" i="10"/>
  <c r="E27" i="10"/>
  <c r="I36" i="10"/>
  <c r="I37" i="10"/>
  <c r="I40" i="10"/>
  <c r="I47" i="10"/>
  <c r="J69" i="10"/>
  <c r="H55" i="10"/>
  <c r="J23" i="10"/>
  <c r="J52" i="10"/>
  <c r="E55" i="10"/>
  <c r="H9" i="10"/>
  <c r="J9" i="10" s="1"/>
  <c r="F17" i="10"/>
  <c r="E65" i="10"/>
  <c r="E89" i="10" s="1"/>
  <c r="J20" i="10"/>
  <c r="I45" i="10"/>
  <c r="J47" i="10"/>
  <c r="J61" i="10"/>
  <c r="J62" i="10"/>
  <c r="J13" i="10"/>
  <c r="I33" i="10"/>
  <c r="D43" i="10"/>
  <c r="E17" i="10"/>
  <c r="J40" i="10"/>
  <c r="I99" i="10"/>
  <c r="J51" i="10"/>
  <c r="I52" i="10"/>
  <c r="F57" i="10"/>
  <c r="F65" i="10"/>
  <c r="F89" i="10" s="1"/>
  <c r="G89" i="10" s="1"/>
  <c r="E9" i="10"/>
  <c r="E79" i="10"/>
  <c r="E80" i="10"/>
  <c r="J30" i="10"/>
  <c r="I34" i="10"/>
  <c r="I48" i="10"/>
  <c r="I58" i="10"/>
  <c r="I66" i="10"/>
  <c r="I67" i="10"/>
  <c r="F80" i="10"/>
  <c r="I15" i="10"/>
  <c r="H44" i="10"/>
  <c r="H43" i="10" s="1"/>
  <c r="E84" i="10"/>
  <c r="I25" i="10"/>
  <c r="I53" i="10"/>
  <c r="H86" i="10"/>
  <c r="J22" i="10"/>
  <c r="I23" i="10"/>
  <c r="F35" i="10"/>
  <c r="J42" i="10"/>
  <c r="J46" i="10"/>
  <c r="J48" i="10"/>
  <c r="I51" i="10"/>
  <c r="J92" i="10"/>
  <c r="D57" i="10"/>
  <c r="D94" i="10"/>
  <c r="D93" i="10" s="1"/>
  <c r="D9" i="10"/>
  <c r="D70" i="10" s="1"/>
  <c r="F79" i="10"/>
  <c r="H81" i="10"/>
  <c r="J28" i="10"/>
  <c r="I31" i="10"/>
  <c r="J33" i="10"/>
  <c r="I42" i="10"/>
  <c r="F44" i="10"/>
  <c r="F43" i="10" s="1"/>
  <c r="I56" i="10"/>
  <c r="J67" i="10"/>
  <c r="E98" i="10"/>
  <c r="J98" i="10" s="1"/>
  <c r="I32" i="10"/>
  <c r="J32" i="10"/>
  <c r="E81" i="10"/>
  <c r="I13" i="10"/>
  <c r="I24" i="10"/>
  <c r="J24" i="10"/>
  <c r="H82" i="10"/>
  <c r="I49" i="10"/>
  <c r="E108" i="10"/>
  <c r="E91" i="10"/>
  <c r="I60" i="10"/>
  <c r="J60" i="10"/>
  <c r="D78" i="10"/>
  <c r="D77" i="10" s="1"/>
  <c r="D101" i="10" s="1"/>
  <c r="G101" i="10"/>
  <c r="G107" i="10"/>
  <c r="G109" i="10" s="1"/>
  <c r="F78" i="10"/>
  <c r="F9" i="10"/>
  <c r="H84" i="10"/>
  <c r="I14" i="10"/>
  <c r="J14" i="10"/>
  <c r="E96" i="10"/>
  <c r="I38" i="10"/>
  <c r="J83" i="10"/>
  <c r="I83" i="10"/>
  <c r="I11" i="10"/>
  <c r="F81" i="10"/>
  <c r="I19" i="10"/>
  <c r="J19" i="10"/>
  <c r="I59" i="10"/>
  <c r="H57" i="10"/>
  <c r="I63" i="10"/>
  <c r="J63" i="10"/>
  <c r="H79" i="10"/>
  <c r="E78" i="10"/>
  <c r="J10" i="10"/>
  <c r="J11" i="10"/>
  <c r="H80" i="10"/>
  <c r="I12" i="10"/>
  <c r="J12" i="10"/>
  <c r="J18" i="10"/>
  <c r="H17" i="10"/>
  <c r="H78" i="10"/>
  <c r="I18" i="10"/>
  <c r="I29" i="10"/>
  <c r="J29" i="10"/>
  <c r="H27" i="10"/>
  <c r="J38" i="10"/>
  <c r="I39" i="10"/>
  <c r="H97" i="10"/>
  <c r="J39" i="10"/>
  <c r="J49" i="10"/>
  <c r="E88" i="10"/>
  <c r="J88" i="10" s="1"/>
  <c r="J54" i="10"/>
  <c r="I54" i="10"/>
  <c r="I92" i="10"/>
  <c r="H91" i="10"/>
  <c r="H108" i="10"/>
  <c r="I10" i="10"/>
  <c r="E85" i="10"/>
  <c r="J15" i="10"/>
  <c r="I16" i="10"/>
  <c r="I21" i="10"/>
  <c r="I22" i="10"/>
  <c r="F27" i="10"/>
  <c r="I30" i="10"/>
  <c r="H35" i="10"/>
  <c r="F93" i="10"/>
  <c r="J37" i="10"/>
  <c r="I41" i="10"/>
  <c r="E44" i="10"/>
  <c r="J45" i="10"/>
  <c r="I46" i="10"/>
  <c r="I50" i="10"/>
  <c r="J56" i="10"/>
  <c r="J59" i="10"/>
  <c r="I61" i="10"/>
  <c r="I64" i="10"/>
  <c r="I68" i="10"/>
  <c r="H85" i="10"/>
  <c r="D17" i="10"/>
  <c r="E35" i="10"/>
  <c r="J36" i="10"/>
  <c r="J99" i="10"/>
  <c r="E57" i="10"/>
  <c r="J58" i="10"/>
  <c r="E94" i="10"/>
  <c r="I94" i="10" s="1"/>
  <c r="H95" i="10"/>
  <c r="J100" i="10"/>
  <c r="I100" i="10"/>
  <c r="G70" i="10"/>
  <c r="F84" i="10"/>
  <c r="F85" i="10"/>
  <c r="E86" i="10"/>
  <c r="J16" i="10"/>
  <c r="J41" i="10"/>
  <c r="I62" i="10"/>
  <c r="H90" i="10"/>
  <c r="I90" i="10" s="1"/>
  <c r="J66" i="10"/>
  <c r="H65" i="10"/>
  <c r="I69" i="10"/>
  <c r="I87" i="10"/>
  <c r="F92" i="10"/>
  <c r="J50" i="10"/>
  <c r="J55" i="10" l="1"/>
  <c r="I80" i="10"/>
  <c r="I9" i="10"/>
  <c r="I55" i="10"/>
  <c r="J81" i="10"/>
  <c r="E26" i="10"/>
  <c r="H93" i="10"/>
  <c r="I79" i="10"/>
  <c r="J80" i="10"/>
  <c r="F26" i="10"/>
  <c r="F70" i="10" s="1"/>
  <c r="I98" i="10"/>
  <c r="J86" i="10"/>
  <c r="I81" i="10"/>
  <c r="J65" i="10"/>
  <c r="I65" i="10"/>
  <c r="H89" i="10"/>
  <c r="H77" i="10" s="1"/>
  <c r="J91" i="10"/>
  <c r="I91" i="10"/>
  <c r="I82" i="10"/>
  <c r="J82" i="10"/>
  <c r="F91" i="10"/>
  <c r="F108" i="10"/>
  <c r="E93" i="10"/>
  <c r="E43" i="10"/>
  <c r="I44" i="10"/>
  <c r="I35" i="10"/>
  <c r="J35" i="10"/>
  <c r="I86" i="10"/>
  <c r="E77" i="10"/>
  <c r="I57" i="10"/>
  <c r="J57" i="10"/>
  <c r="J84" i="10"/>
  <c r="I84" i="10"/>
  <c r="J27" i="10"/>
  <c r="I27" i="10"/>
  <c r="H26" i="10"/>
  <c r="J78" i="10"/>
  <c r="I78" i="10"/>
  <c r="J96" i="10"/>
  <c r="I96" i="10"/>
  <c r="J44" i="10"/>
  <c r="J95" i="10"/>
  <c r="I95" i="10"/>
  <c r="I88" i="10"/>
  <c r="J85" i="10"/>
  <c r="I85" i="10"/>
  <c r="J97" i="10"/>
  <c r="I97" i="10"/>
  <c r="I17" i="10"/>
  <c r="J17" i="10"/>
  <c r="J79" i="10"/>
  <c r="F77" i="10"/>
  <c r="J94" i="10"/>
  <c r="E70" i="10" l="1"/>
  <c r="J93" i="10"/>
  <c r="I43" i="10"/>
  <c r="J43" i="10"/>
  <c r="I93" i="10"/>
  <c r="I26" i="10"/>
  <c r="J26" i="10"/>
  <c r="F101" i="10"/>
  <c r="F107" i="10"/>
  <c r="F109" i="10" s="1"/>
  <c r="E107" i="10"/>
  <c r="E109" i="10" s="1"/>
  <c r="E101" i="10"/>
  <c r="H70" i="10"/>
  <c r="H101" i="10"/>
  <c r="I77" i="10"/>
  <c r="H107" i="10"/>
  <c r="H109" i="10" s="1"/>
  <c r="J77" i="10"/>
  <c r="J89" i="10"/>
  <c r="I89" i="10"/>
  <c r="J70" i="10" l="1"/>
  <c r="I70" i="10"/>
  <c r="J101" i="10"/>
  <c r="I101" i="10"/>
  <c r="E28" i="4" l="1"/>
  <c r="G119" i="9"/>
  <c r="F119" i="9"/>
  <c r="E119" i="9"/>
  <c r="G118" i="9"/>
  <c r="F118" i="9"/>
  <c r="E118" i="9"/>
  <c r="G112" i="9"/>
  <c r="F112" i="9"/>
  <c r="F113" i="9" s="1"/>
  <c r="E112" i="9"/>
  <c r="E113" i="9" s="1"/>
  <c r="G108" i="9"/>
  <c r="H108" i="9" s="1"/>
  <c r="F108" i="9"/>
  <c r="E108" i="9"/>
  <c r="G107" i="9"/>
  <c r="F107" i="9"/>
  <c r="E107" i="9"/>
  <c r="F105" i="9"/>
  <c r="E105" i="9"/>
  <c r="F104" i="9"/>
  <c r="E104" i="9"/>
  <c r="G102" i="9"/>
  <c r="G101" i="9"/>
  <c r="F101" i="9"/>
  <c r="E101" i="9"/>
  <c r="G100" i="9"/>
  <c r="F100" i="9"/>
  <c r="E100" i="9"/>
  <c r="G99" i="9"/>
  <c r="F99" i="9"/>
  <c r="E99" i="9"/>
  <c r="G98" i="9"/>
  <c r="F98" i="9"/>
  <c r="E98" i="9"/>
  <c r="G97" i="9"/>
  <c r="F97" i="9"/>
  <c r="E97" i="9"/>
  <c r="H94" i="9"/>
  <c r="H93" i="9"/>
  <c r="H92" i="9"/>
  <c r="G91" i="9"/>
  <c r="F91" i="9"/>
  <c r="E91" i="9"/>
  <c r="G90" i="9"/>
  <c r="E90" i="9"/>
  <c r="G89" i="9"/>
  <c r="F89" i="9"/>
  <c r="E89" i="9"/>
  <c r="G88" i="9"/>
  <c r="F88" i="9"/>
  <c r="E88" i="9"/>
  <c r="G87" i="9"/>
  <c r="E87" i="9"/>
  <c r="G86" i="9"/>
  <c r="E86" i="9"/>
  <c r="F85" i="9"/>
  <c r="H84" i="9"/>
  <c r="H83" i="9"/>
  <c r="H82" i="9"/>
  <c r="G81" i="9"/>
  <c r="H81" i="9" s="1"/>
  <c r="F81" i="9"/>
  <c r="E81" i="9"/>
  <c r="G79" i="9"/>
  <c r="H79" i="9" s="1"/>
  <c r="G78" i="9"/>
  <c r="G76" i="9"/>
  <c r="F76" i="9"/>
  <c r="E76" i="9"/>
  <c r="G75" i="9"/>
  <c r="F75" i="9"/>
  <c r="E75" i="9"/>
  <c r="G74" i="9"/>
  <c r="H74" i="9" s="1"/>
  <c r="F74" i="9"/>
  <c r="F71" i="9" s="1"/>
  <c r="G73" i="9"/>
  <c r="G72" i="9"/>
  <c r="H72" i="9" s="1"/>
  <c r="E71" i="9"/>
  <c r="G69" i="9"/>
  <c r="F69" i="9"/>
  <c r="E69" i="9"/>
  <c r="G68" i="9"/>
  <c r="F68" i="9"/>
  <c r="F66" i="9" s="1"/>
  <c r="E68" i="9"/>
  <c r="G67" i="9"/>
  <c r="F67" i="9"/>
  <c r="E67" i="9"/>
  <c r="G65" i="9"/>
  <c r="F65" i="9"/>
  <c r="E65" i="9"/>
  <c r="G64" i="9"/>
  <c r="F63" i="9"/>
  <c r="E63" i="9"/>
  <c r="F62" i="9"/>
  <c r="E62" i="9"/>
  <c r="F61" i="9"/>
  <c r="E61" i="9"/>
  <c r="G59" i="9"/>
  <c r="F59" i="9"/>
  <c r="E59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0" i="9"/>
  <c r="F50" i="9"/>
  <c r="E50" i="9"/>
  <c r="G49" i="9"/>
  <c r="F49" i="9"/>
  <c r="E49" i="9"/>
  <c r="G48" i="9"/>
  <c r="F48" i="9"/>
  <c r="E48" i="9"/>
  <c r="F46" i="9"/>
  <c r="G45" i="9"/>
  <c r="F45" i="9"/>
  <c r="E45" i="9"/>
  <c r="H44" i="9"/>
  <c r="F44" i="9"/>
  <c r="G43" i="9"/>
  <c r="F43" i="9"/>
  <c r="E43" i="9"/>
  <c r="G42" i="9"/>
  <c r="F42" i="9"/>
  <c r="E42" i="9"/>
  <c r="G41" i="9"/>
  <c r="F41" i="9"/>
  <c r="E41" i="9"/>
  <c r="G40" i="9"/>
  <c r="F40" i="9"/>
  <c r="E40" i="9"/>
  <c r="G37" i="9"/>
  <c r="F37" i="9"/>
  <c r="E37" i="9"/>
  <c r="G36" i="9"/>
  <c r="F36" i="9"/>
  <c r="E36" i="9"/>
  <c r="G35" i="9"/>
  <c r="F35" i="9"/>
  <c r="E35" i="9"/>
  <c r="G34" i="9"/>
  <c r="F34" i="9"/>
  <c r="E34" i="9"/>
  <c r="G33" i="9"/>
  <c r="F33" i="9"/>
  <c r="E33" i="9"/>
  <c r="G31" i="9"/>
  <c r="H31" i="9" s="1"/>
  <c r="G30" i="9"/>
  <c r="H30" i="9" s="1"/>
  <c r="G29" i="9"/>
  <c r="F29" i="9"/>
  <c r="E29" i="9"/>
  <c r="G28" i="9"/>
  <c r="F28" i="9"/>
  <c r="G27" i="9"/>
  <c r="F27" i="9"/>
  <c r="E27" i="9"/>
  <c r="G26" i="9"/>
  <c r="F26" i="9"/>
  <c r="E26" i="9"/>
  <c r="G25" i="9"/>
  <c r="H25" i="9" s="1"/>
  <c r="G24" i="9"/>
  <c r="H24" i="9" s="1"/>
  <c r="G22" i="9"/>
  <c r="H22" i="9" s="1"/>
  <c r="G21" i="9"/>
  <c r="H21" i="9" s="1"/>
  <c r="H20" i="9"/>
  <c r="G17" i="9"/>
  <c r="G16" i="9"/>
  <c r="G15" i="9"/>
  <c r="F15" i="9"/>
  <c r="F14" i="9" s="1"/>
  <c r="E15" i="9"/>
  <c r="G13" i="9"/>
  <c r="E13" i="9"/>
  <c r="G12" i="9"/>
  <c r="F12" i="9"/>
  <c r="F10" i="9" s="1"/>
  <c r="E12" i="9"/>
  <c r="G11" i="9"/>
  <c r="E11" i="9"/>
  <c r="G9" i="9"/>
  <c r="F9" i="9"/>
  <c r="E9" i="9"/>
  <c r="G8" i="9"/>
  <c r="F8" i="9"/>
  <c r="E8" i="9"/>
  <c r="F106" i="9" l="1"/>
  <c r="E120" i="9"/>
  <c r="H107" i="9"/>
  <c r="H119" i="9"/>
  <c r="H100" i="9"/>
  <c r="H76" i="9"/>
  <c r="E85" i="9"/>
  <c r="H88" i="9"/>
  <c r="H91" i="9"/>
  <c r="H99" i="9"/>
  <c r="E7" i="9"/>
  <c r="F7" i="9"/>
  <c r="F6" i="9" s="1"/>
  <c r="F60" i="9"/>
  <c r="F32" i="9"/>
  <c r="H34" i="9"/>
  <c r="H75" i="9"/>
  <c r="H61" i="9"/>
  <c r="G96" i="9"/>
  <c r="E103" i="9"/>
  <c r="E60" i="9"/>
  <c r="E106" i="9"/>
  <c r="G7" i="9"/>
  <c r="E32" i="9"/>
  <c r="H15" i="9"/>
  <c r="E23" i="9"/>
  <c r="E19" i="9" s="1"/>
  <c r="G32" i="9"/>
  <c r="H36" i="9"/>
  <c r="E39" i="9"/>
  <c r="E38" i="9" s="1"/>
  <c r="H48" i="9"/>
  <c r="G53" i="9"/>
  <c r="H9" i="9"/>
  <c r="G14" i="9"/>
  <c r="H26" i="9"/>
  <c r="H29" i="9"/>
  <c r="H35" i="9"/>
  <c r="E47" i="9"/>
  <c r="E70" i="9"/>
  <c r="H8" i="9"/>
  <c r="H16" i="9"/>
  <c r="F53" i="9"/>
  <c r="F70" i="9"/>
  <c r="H87" i="9"/>
  <c r="E96" i="9"/>
  <c r="E14" i="9"/>
  <c r="G23" i="9"/>
  <c r="G19" i="9" s="1"/>
  <c r="H33" i="9"/>
  <c r="H43" i="9"/>
  <c r="F96" i="9"/>
  <c r="H98" i="9"/>
  <c r="F103" i="9"/>
  <c r="H105" i="9"/>
  <c r="H14" i="9"/>
  <c r="E10" i="9"/>
  <c r="G39" i="9"/>
  <c r="G38" i="9" s="1"/>
  <c r="E66" i="9"/>
  <c r="F39" i="9"/>
  <c r="F38" i="9" s="1"/>
  <c r="F47" i="9"/>
  <c r="H49" i="9"/>
  <c r="E53" i="9"/>
  <c r="H57" i="9"/>
  <c r="H67" i="9"/>
  <c r="H86" i="9"/>
  <c r="H89" i="9"/>
  <c r="H97" i="9"/>
  <c r="H101" i="9"/>
  <c r="H104" i="9"/>
  <c r="H28" i="9"/>
  <c r="H56" i="9"/>
  <c r="G60" i="9"/>
  <c r="G66" i="9"/>
  <c r="E80" i="9"/>
  <c r="H90" i="9"/>
  <c r="F120" i="9"/>
  <c r="H42" i="9"/>
  <c r="G47" i="9"/>
  <c r="H55" i="9"/>
  <c r="H59" i="9"/>
  <c r="H63" i="9"/>
  <c r="H65" i="9"/>
  <c r="H69" i="9"/>
  <c r="G71" i="9"/>
  <c r="G70" i="9" s="1"/>
  <c r="F80" i="9"/>
  <c r="G103" i="9"/>
  <c r="G106" i="9"/>
  <c r="H118" i="9"/>
  <c r="H12" i="9"/>
  <c r="H11" i="9"/>
  <c r="H13" i="9"/>
  <c r="F23" i="9"/>
  <c r="F19" i="9" s="1"/>
  <c r="H41" i="9"/>
  <c r="H50" i="9"/>
  <c r="H54" i="9"/>
  <c r="H58" i="9"/>
  <c r="H62" i="9"/>
  <c r="H68" i="9"/>
  <c r="H112" i="9"/>
  <c r="H40" i="9"/>
  <c r="H64" i="9"/>
  <c r="H73" i="9"/>
  <c r="G85" i="9"/>
  <c r="G113" i="9"/>
  <c r="H113" i="9" s="1"/>
  <c r="G120" i="9"/>
  <c r="H120" i="9" s="1"/>
  <c r="G10" i="9"/>
  <c r="H7" i="9" l="1"/>
  <c r="F52" i="9"/>
  <c r="F51" i="9" s="1"/>
  <c r="H96" i="9"/>
  <c r="H106" i="9"/>
  <c r="E52" i="9"/>
  <c r="E51" i="9" s="1"/>
  <c r="H60" i="9"/>
  <c r="F95" i="9"/>
  <c r="H32" i="9"/>
  <c r="H70" i="9"/>
  <c r="E95" i="9"/>
  <c r="H23" i="9"/>
  <c r="H38" i="9"/>
  <c r="H71" i="9"/>
  <c r="H47" i="9"/>
  <c r="H39" i="9"/>
  <c r="H53" i="9"/>
  <c r="H19" i="9"/>
  <c r="G52" i="9"/>
  <c r="H66" i="9"/>
  <c r="E6" i="9"/>
  <c r="H103" i="9"/>
  <c r="G95" i="9"/>
  <c r="G6" i="9"/>
  <c r="H10" i="9"/>
  <c r="H85" i="9"/>
  <c r="G80" i="9"/>
  <c r="H80" i="9" s="1"/>
  <c r="F109" i="9" l="1"/>
  <c r="F115" i="9" s="1"/>
  <c r="H95" i="9"/>
  <c r="E109" i="9"/>
  <c r="E115" i="9" s="1"/>
  <c r="H52" i="9"/>
  <c r="G51" i="9"/>
  <c r="H51" i="9" s="1"/>
  <c r="H6" i="9"/>
  <c r="G109" i="9" l="1"/>
  <c r="H109" i="9" s="1"/>
  <c r="G115" i="9" l="1"/>
  <c r="H24" i="8"/>
  <c r="G24" i="8"/>
  <c r="F24" i="8"/>
  <c r="E24" i="8"/>
  <c r="D24" i="8"/>
  <c r="H23" i="8"/>
  <c r="G23" i="8"/>
  <c r="F23" i="8"/>
  <c r="E23" i="8"/>
  <c r="D23" i="8"/>
  <c r="D25" i="8" s="1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E15" i="8"/>
  <c r="H14" i="8"/>
  <c r="G14" i="8"/>
  <c r="F14" i="8"/>
  <c r="H13" i="8"/>
  <c r="G13" i="8"/>
  <c r="F13" i="8"/>
  <c r="G12" i="8"/>
  <c r="F12" i="8"/>
  <c r="H11" i="8"/>
  <c r="G11" i="8"/>
  <c r="F11" i="8"/>
  <c r="H10" i="8"/>
  <c r="G10" i="8"/>
  <c r="F10" i="8"/>
  <c r="E10" i="8"/>
  <c r="H9" i="8"/>
  <c r="G9" i="8"/>
  <c r="F9" i="8"/>
  <c r="H8" i="8"/>
  <c r="G8" i="8"/>
  <c r="F8" i="8"/>
  <c r="E8" i="8"/>
  <c r="H7" i="8"/>
  <c r="G7" i="8"/>
  <c r="F7" i="8"/>
  <c r="H115" i="9" l="1"/>
  <c r="J115" i="9"/>
  <c r="I23" i="8"/>
  <c r="I24" i="8"/>
  <c r="I9" i="8"/>
  <c r="I14" i="8"/>
  <c r="I7" i="8"/>
  <c r="I21" i="8"/>
  <c r="I8" i="8"/>
  <c r="I13" i="8"/>
  <c r="I18" i="8"/>
  <c r="I22" i="8"/>
  <c r="F25" i="8"/>
  <c r="G25" i="8"/>
  <c r="I11" i="8"/>
  <c r="I16" i="8"/>
  <c r="E25" i="8"/>
  <c r="I10" i="8"/>
  <c r="I15" i="8"/>
  <c r="I19" i="8"/>
  <c r="I17" i="8"/>
  <c r="I57" i="4" l="1"/>
  <c r="I56" i="4"/>
  <c r="I55" i="4"/>
  <c r="I54" i="4"/>
  <c r="I53" i="4"/>
  <c r="I52" i="4"/>
  <c r="H58" i="4"/>
  <c r="H45" i="4" s="1"/>
  <c r="I47" i="4"/>
  <c r="I51" i="4"/>
  <c r="I46" i="4"/>
  <c r="I50" i="4" l="1"/>
  <c r="I49" i="4" l="1"/>
  <c r="H20" i="4" l="1"/>
  <c r="H22" i="4" s="1"/>
  <c r="E45" i="4" l="1"/>
  <c r="G45" i="4"/>
  <c r="F57" i="4" l="1"/>
  <c r="E30" i="4" l="1"/>
  <c r="I21" i="4" l="1"/>
  <c r="G69" i="4" l="1"/>
  <c r="G30" i="4" l="1"/>
  <c r="E29" i="4"/>
  <c r="G29" i="4" l="1"/>
  <c r="G59" i="4" s="1"/>
  <c r="E20" i="4"/>
  <c r="G20" i="4" l="1"/>
  <c r="G22" i="4" s="1"/>
  <c r="G72" i="4" s="1"/>
  <c r="I42" i="4" l="1"/>
  <c r="I41" i="4" l="1"/>
  <c r="I40" i="4"/>
  <c r="I39" i="4"/>
  <c r="I35" i="4"/>
  <c r="I34" i="4"/>
  <c r="I33" i="4"/>
  <c r="I32" i="4"/>
  <c r="I15" i="4" l="1"/>
  <c r="I5" i="4"/>
  <c r="F43" i="4" l="1"/>
  <c r="I43" i="4"/>
  <c r="I60" i="4" l="1"/>
  <c r="F27" i="4" l="1"/>
  <c r="F53" i="4" l="1"/>
  <c r="F52" i="4"/>
  <c r="F46" i="4"/>
  <c r="F45" i="4" l="1"/>
  <c r="F42" i="4"/>
  <c r="F28" i="4" l="1"/>
  <c r="D69" i="4" l="1"/>
  <c r="C69" i="4"/>
  <c r="F66" i="4"/>
  <c r="F69" i="4" s="1"/>
  <c r="F55" i="4"/>
  <c r="F41" i="4"/>
  <c r="F40" i="4"/>
  <c r="F39" i="4"/>
  <c r="F35" i="4"/>
  <c r="D35" i="4"/>
  <c r="D30" i="4" s="1"/>
  <c r="D29" i="4" s="1"/>
  <c r="C35" i="4"/>
  <c r="C30" i="4" s="1"/>
  <c r="C29" i="4" s="1"/>
  <c r="F34" i="4"/>
  <c r="F33" i="4"/>
  <c r="F32" i="4"/>
  <c r="F31" i="4"/>
  <c r="D28" i="4"/>
  <c r="D27" i="4"/>
  <c r="C27" i="4"/>
  <c r="F18" i="4"/>
  <c r="F17" i="4"/>
  <c r="F15" i="4"/>
  <c r="F14" i="4"/>
  <c r="F13" i="4"/>
  <c r="D13" i="4"/>
  <c r="C13" i="4"/>
  <c r="F12" i="4"/>
  <c r="F11" i="4"/>
  <c r="C11" i="4"/>
  <c r="F10" i="4"/>
  <c r="D10" i="4"/>
  <c r="C10" i="4"/>
  <c r="F9" i="4"/>
  <c r="D9" i="4"/>
  <c r="C9" i="4"/>
  <c r="F8" i="4"/>
  <c r="F7" i="4"/>
  <c r="D7" i="4"/>
  <c r="C7" i="4"/>
  <c r="F6" i="4"/>
  <c r="D6" i="4"/>
  <c r="D5" i="4"/>
  <c r="C5" i="4"/>
  <c r="F20" i="4" l="1"/>
  <c r="F22" i="4" s="1"/>
  <c r="F72" i="4" s="1"/>
  <c r="F30" i="4"/>
  <c r="F29" i="4" s="1"/>
  <c r="F59" i="4" s="1"/>
  <c r="F61" i="4" s="1"/>
  <c r="F73" i="4" s="1"/>
  <c r="E22" i="4"/>
  <c r="E72" i="4" s="1"/>
  <c r="D20" i="4"/>
  <c r="D22" i="4" s="1"/>
  <c r="D72" i="4" s="1"/>
  <c r="C59" i="4"/>
  <c r="C61" i="4" s="1"/>
  <c r="C73" i="4" s="1"/>
  <c r="C20" i="4"/>
  <c r="C22" i="4" s="1"/>
  <c r="C72" i="4" s="1"/>
  <c r="D59" i="4"/>
  <c r="D61" i="4" s="1"/>
  <c r="D73" i="4" s="1"/>
  <c r="F74" i="4" l="1"/>
  <c r="D74" i="4"/>
  <c r="C74" i="4"/>
  <c r="F71" i="4" l="1"/>
  <c r="G61" i="4" l="1"/>
  <c r="G73" i="4" s="1"/>
  <c r="G74" i="4" s="1"/>
  <c r="I6" i="4" l="1"/>
  <c r="I7" i="4" l="1"/>
  <c r="I10" i="4" l="1"/>
  <c r="I13" i="4" l="1"/>
  <c r="I9" i="4"/>
  <c r="I8" i="4" l="1"/>
  <c r="I31" i="4" l="1"/>
  <c r="I11" i="4" l="1"/>
  <c r="I45" i="4" l="1"/>
  <c r="I14" i="4" l="1"/>
  <c r="I20" i="4" l="1"/>
  <c r="I22" i="4" l="1"/>
  <c r="I28" i="4" l="1"/>
  <c r="H68" i="4" l="1"/>
  <c r="I68" i="4" l="1"/>
  <c r="H30" i="4" l="1"/>
  <c r="H29" i="4" l="1"/>
  <c r="I30" i="4"/>
  <c r="I29" i="4" l="1"/>
  <c r="H66" i="4" l="1"/>
  <c r="I66" i="4" l="1"/>
  <c r="H72" i="4"/>
  <c r="H69" i="4"/>
  <c r="I69" i="4" s="1"/>
  <c r="H12" i="8" l="1"/>
  <c r="E27" i="4"/>
  <c r="E59" i="4" s="1"/>
  <c r="E61" i="4" s="1"/>
  <c r="E73" i="4" s="1"/>
  <c r="E74" i="4" s="1"/>
  <c r="H25" i="8" l="1"/>
  <c r="I25" i="8" s="1"/>
  <c r="I12" i="8"/>
  <c r="H27" i="4" l="1"/>
  <c r="H59" i="4" s="1"/>
  <c r="I27" i="4" l="1"/>
  <c r="H61" i="4" l="1"/>
  <c r="I59" i="4"/>
  <c r="I61" i="4" l="1"/>
  <c r="H73" i="4"/>
  <c r="H74" i="4" s="1"/>
  <c r="H7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Fidrová Olga</author>
  </authors>
  <commentList>
    <comment ref="H7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sharedStrings.xml><?xml version="1.0" encoding="utf-8"?>
<sst xmlns="http://schemas.openxmlformats.org/spreadsheetml/2006/main" count="995" uniqueCount="573">
  <si>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</si>
  <si>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</si>
  <si>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</si>
  <si>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</si>
  <si>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</si>
  <si>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</si>
  <si>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</si>
  <si>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</si>
  <si>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</si>
  <si>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</si>
  <si>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</si>
  <si>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</si>
  <si>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</si>
  <si>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</si>
  <si>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</si>
  <si>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</si>
  <si>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</si>
  <si>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</si>
  <si>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</si>
  <si>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</si>
  <si>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</si>
  <si>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</si>
  <si>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</si>
  <si>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</si>
  <si>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</si>
  <si>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</si>
  <si>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</si>
  <si>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</si>
  <si>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</si>
  <si>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</si>
  <si>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</si>
  <si>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</si>
  <si>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</si>
  <si>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</si>
  <si>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</si>
  <si>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</si>
  <si>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</si>
  <si>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</si>
  <si>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</si>
  <si>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</si>
  <si>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</si>
  <si>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</si>
  <si>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</si>
  <si>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</si>
  <si>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</si>
  <si>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</si>
  <si>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</si>
  <si>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</si>
  <si>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           příspěvek na provoz - účelově určený příspěvek </t>
  </si>
  <si>
    <t xml:space="preserve">           rezerva pro PO </t>
  </si>
  <si>
    <t>Dotační programy / tituly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</si>
  <si>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</si>
  <si>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</si>
  <si>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</si>
  <si>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</si>
  <si>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</si>
  <si>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</si>
  <si>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</si>
  <si>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</si>
  <si>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</si>
  <si>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</si>
  <si>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</si>
  <si>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</si>
  <si>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b) splátky úvěrů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</si>
  <si>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</si>
  <si>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</si>
  <si>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</si>
  <si>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</si>
  <si>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</si>
  <si>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</si>
  <si>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</si>
  <si>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</si>
  <si>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</si>
  <si>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</si>
  <si>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</si>
  <si>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</si>
  <si>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</si>
  <si>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</si>
  <si>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</si>
  <si>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</si>
  <si>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</si>
  <si>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</si>
  <si>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</si>
  <si>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</si>
  <si>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</si>
  <si>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</si>
  <si>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</si>
  <si>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</si>
  <si>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</si>
  <si>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</si>
  <si>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>6. Očekávané plnění k 31.12.2019</t>
  </si>
  <si>
    <t>134-135</t>
  </si>
  <si>
    <t>138</t>
  </si>
  <si>
    <t>139</t>
  </si>
  <si>
    <t>140</t>
  </si>
  <si>
    <t>Nárh rozpočtu 2021</t>
  </si>
  <si>
    <t>v tis.Kč</t>
  </si>
  <si>
    <t>§</t>
  </si>
  <si>
    <t xml:space="preserve">pol. </t>
  </si>
  <si>
    <t>Název seskupení položek</t>
  </si>
  <si>
    <t>7=6/4</t>
  </si>
  <si>
    <t xml:space="preserve"> -</t>
  </si>
  <si>
    <t>Ostatní příjmy z vlastní činnosti</t>
  </si>
  <si>
    <t>Sankční platby přijaté od jiných subjektů</t>
  </si>
  <si>
    <t xml:space="preserve">Ostatní nedaňové příjmy jinde nezařazené    </t>
  </si>
  <si>
    <t>Splátky půjčených prostředků od obecně prospěšných společností a podobných subjektů</t>
  </si>
  <si>
    <t>Celkem</t>
  </si>
  <si>
    <t>b) Fond sociálních potřeb</t>
  </si>
  <si>
    <t>Položka</t>
  </si>
  <si>
    <t>Název položky</t>
  </si>
  <si>
    <t>Převody z rozpočtových účtů</t>
  </si>
  <si>
    <t>c) Fond na podporu výstavby a obnovy vodohospodářské infrastruktury na území Olomouckého kraje</t>
  </si>
  <si>
    <t>Poplatky za znečišťování ovzduší</t>
  </si>
  <si>
    <t>Poplatek za odebrané množství podzemní vody</t>
  </si>
  <si>
    <t>Rekapitulace:</t>
  </si>
  <si>
    <t>Příjmy Olomouckého kraje celkem (po konsolidaci*)</t>
  </si>
  <si>
    <t>Konsolidace je očištění údajů v rozpočtu o interní přesuny peněžních prostředků uvnitř organizace mezi jednotlivými účty.</t>
  </si>
  <si>
    <t>Poznámka: v části upravený rozpočet a skutečnost nejsou uvedeny všechny položky, protože nejsou součástí schváleného rozpočtu.</t>
  </si>
  <si>
    <t>Odbor (kancelář)</t>
  </si>
  <si>
    <t>ORJ</t>
  </si>
  <si>
    <t>3a</t>
  </si>
  <si>
    <t>3b</t>
  </si>
  <si>
    <t>6=5/3</t>
  </si>
  <si>
    <t xml:space="preserve">Odbor majetkový, právní a správních činností </t>
  </si>
  <si>
    <t xml:space="preserve">Odbor informačních technologií </t>
  </si>
  <si>
    <t xml:space="preserve">Odbor ekonomický  </t>
  </si>
  <si>
    <t xml:space="preserve">Odbor životního prostředí a zemědělství </t>
  </si>
  <si>
    <t xml:space="preserve">Odbor sociálních věcí </t>
  </si>
  <si>
    <t xml:space="preserve">Odbor dopravy a silničního hospodářství </t>
  </si>
  <si>
    <t xml:space="preserve">Odbor zdravotnictví </t>
  </si>
  <si>
    <t xml:space="preserve">Odbor kontroly </t>
  </si>
  <si>
    <t>Výdaje odborů - provozní výdaje</t>
  </si>
  <si>
    <t xml:space="preserve">Odbor </t>
  </si>
  <si>
    <t>UZ</t>
  </si>
  <si>
    <t xml:space="preserve">Dotační program: </t>
  </si>
  <si>
    <t xml:space="preserve">Dotační tituly: 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</si>
  <si>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</si>
  <si>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</si>
  <si>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</si>
  <si>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</si>
  <si>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</si>
  <si>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</si>
  <si>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oblast sportu:</t>
  </si>
  <si>
    <t>oblast kultury a památkové péče:</t>
  </si>
  <si>
    <t xml:space="preserve">Dotace celkem </t>
  </si>
  <si>
    <t xml:space="preserve">Všechny odbory </t>
  </si>
  <si>
    <t>Individuální dotace</t>
  </si>
  <si>
    <t>Organizace</t>
  </si>
  <si>
    <t>SKUTEČNOST K 31.12.2015</t>
  </si>
  <si>
    <t>SCHVÁLENÝ ROZPOČET</t>
  </si>
  <si>
    <t>Očekávaná skutečnost k 31.12.2017</t>
  </si>
  <si>
    <t>NÁVRH ROZPOČTU</t>
  </si>
  <si>
    <t>nárůst/snížení v %</t>
  </si>
  <si>
    <t>sl.1</t>
  </si>
  <si>
    <t>sl.2</t>
  </si>
  <si>
    <t>sl.3b</t>
  </si>
  <si>
    <t>sl.3</t>
  </si>
  <si>
    <t>sl.4=sl.3-sl.1</t>
  </si>
  <si>
    <t>sl.5=sl.3/sl.1</t>
  </si>
  <si>
    <t>Organizace v oblasti školství</t>
  </si>
  <si>
    <t xml:space="preserve">a) příspěvek na provoz </t>
  </si>
  <si>
    <t>300</t>
  </si>
  <si>
    <t>301</t>
  </si>
  <si>
    <t>302</t>
  </si>
  <si>
    <t>303</t>
  </si>
  <si>
    <t>304</t>
  </si>
  <si>
    <t>Organizace v oblasti sociální</t>
  </si>
  <si>
    <t>Organizace v oblasti dopravy</t>
  </si>
  <si>
    <t>1) Provozní příspěvky</t>
  </si>
  <si>
    <t>2) Dopravní obslužnost</t>
  </si>
  <si>
    <t>a) příspěvek na úhradu prokazatelné ztráty dopravcům - veřejná linková doprava</t>
  </si>
  <si>
    <t>130</t>
  </si>
  <si>
    <t xml:space="preserve">b) příspěvek na úhradu prokazatelné ztráty dopravcům  - drážní doprava </t>
  </si>
  <si>
    <t>132</t>
  </si>
  <si>
    <t xml:space="preserve">c) příspěvek na úhradu protarifovací ztráty - drážní  doprava </t>
  </si>
  <si>
    <t xml:space="preserve">d) příspěvek na úhradu prokazatelné ztráty - od obcí </t>
  </si>
  <si>
    <t>e) mezikrajské smlouvy na linkovou dopravu</t>
  </si>
  <si>
    <t>f) smlouvy na autobusovou dopravu</t>
  </si>
  <si>
    <t>Organizace v oblasti kultury</t>
  </si>
  <si>
    <t>308</t>
  </si>
  <si>
    <t>REZERVA - záchr. archeologický výzkum</t>
  </si>
  <si>
    <t>2) Investiční příspěvky</t>
  </si>
  <si>
    <t>- nákupy do sbírek muzejní povahy</t>
  </si>
  <si>
    <t>309</t>
  </si>
  <si>
    <t>Organizace v oblasti zdravotnictví</t>
  </si>
  <si>
    <t>307</t>
  </si>
  <si>
    <t>Celkem příspěvkové organizace</t>
  </si>
  <si>
    <t>3) Dopravní obslužnost</t>
  </si>
  <si>
    <t>a)  příspěvek na úhradu prokazatelné ztráty dopravcům - veřejná linková doprava</t>
  </si>
  <si>
    <t xml:space="preserve">Příspěvkové organizace zřizované Olomouckým krajem </t>
  </si>
  <si>
    <t>Komentář:</t>
  </si>
  <si>
    <t>Ostatní neinvestiční výdaje</t>
  </si>
  <si>
    <t>seskupení položek</t>
  </si>
  <si>
    <t>Správce:</t>
  </si>
  <si>
    <t>ORJ - 199</t>
  </si>
  <si>
    <t xml:space="preserve">Investiční transfery obcím </t>
  </si>
  <si>
    <t>§ 2334, seskupení pol. 63 - Investiční transfery</t>
  </si>
  <si>
    <t>§ 2310, seskupení pol. 63 - Investiční transfery</t>
  </si>
  <si>
    <t>§ 2321, seskupení pol. 63 - Investiční transfery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</si>
  <si>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</si>
  <si>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Investiční transfery obcím</t>
  </si>
  <si>
    <t>§ 2399, seskupení pol. 63 - Investiční transfery</t>
  </si>
  <si>
    <t>Investiční transfery</t>
  </si>
  <si>
    <t>vedoucí odboru životního prostředí a zemědělství</t>
  </si>
  <si>
    <t>ORJ - 99</t>
  </si>
  <si>
    <t>Nájemné SMN</t>
  </si>
  <si>
    <t>Požadavky na rozpočet OK</t>
  </si>
  <si>
    <t>CELKEM</t>
  </si>
  <si>
    <t>Splátky úvěrů - dle splátkového kalendáře</t>
  </si>
  <si>
    <t xml:space="preserve">Rekapitulace: </t>
  </si>
  <si>
    <t xml:space="preserve">Celkem </t>
  </si>
  <si>
    <t>Financování z tuzemska</t>
  </si>
  <si>
    <t>Financování ze zahraničí</t>
  </si>
  <si>
    <t>seskupení pol.81 - Financování z tuzemska</t>
  </si>
  <si>
    <t>Uhrazené splátky dlouhodobých přijatých půjčených prostředků</t>
  </si>
  <si>
    <t>seskupení pol.82 - Financování ze zahraničí</t>
  </si>
  <si>
    <t>Splátka úvěru Evrospké investiční banky na projekt "Modernizace silniční sítě".</t>
  </si>
  <si>
    <t xml:space="preserve">Splátka úvěrového rámce od Evropské investiční banky na spolufinancování evropských programů a investičních akcí Olomouckého kraje.  </t>
  </si>
  <si>
    <t>a) Příjmy Olomouckého kraje - rekapitulace</t>
  </si>
  <si>
    <t>b) Výdaje Olomouckého kraje - rekapitulace</t>
  </si>
  <si>
    <t>c) Dotační programy/tituly - rekapitulace</t>
  </si>
  <si>
    <t>d) Příspěvkové organizace - rekapitulace</t>
  </si>
  <si>
    <t>e) Fond sociálních potřeba</t>
  </si>
  <si>
    <t>f) Fond na podporu výstavby a obnovy vodohospodářské infrastruktury na území Olomouckého kraje</t>
  </si>
  <si>
    <t>10</t>
  </si>
  <si>
    <t>14</t>
  </si>
  <si>
    <t>17</t>
  </si>
  <si>
    <t>18</t>
  </si>
  <si>
    <t xml:space="preserve">Seznam příloh: </t>
  </si>
  <si>
    <t xml:space="preserve">a) rozpracované opravy </t>
  </si>
  <si>
    <t>Upravený rozpočet k 
31. 7. 2021</t>
  </si>
  <si>
    <t>Personální útvar</t>
  </si>
  <si>
    <t>Běžné výdaje</t>
  </si>
  <si>
    <t>Kapitálové výdaje</t>
  </si>
  <si>
    <t xml:space="preserve">Běžné výdaje </t>
  </si>
  <si>
    <t>14_01_01 Podpora regionálního značení</t>
  </si>
  <si>
    <t>14_01_02 Podpora farmářských trhů</t>
  </si>
  <si>
    <t>01_01_02 Podpora zpracování územně plánovací dokumentace</t>
  </si>
  <si>
    <t>01_01_01 Podpora budování a obnovy infrastruktury obce</t>
  </si>
  <si>
    <t>01_01_03 Podpora přípravy projektové dokumentace</t>
  </si>
  <si>
    <t>08_01_01 Podpora prevence kriminality</t>
  </si>
  <si>
    <t>08_01_02 Podpora prorodinných aktivit</t>
  </si>
  <si>
    <t xml:space="preserve">08_01_03 Podpora aktivit směřujících k sociálnímu začleňování </t>
  </si>
  <si>
    <t>08 -02 Program finanční podpory poskytování sociálních služeb v Olomouckém kraji - Podprogram č. 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</si>
  <si>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</si>
  <si>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</si>
  <si>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</si>
  <si>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</si>
  <si>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06_01_01 Podpora celoroční sportovní činnosti</t>
  </si>
  <si>
    <t xml:space="preserve">06_01_02 Podpora přípravy dětí a mládeže na vrcholový sport </t>
  </si>
  <si>
    <t>06_09_01 Víceletá podpora významných sportovních akcí</t>
  </si>
  <si>
    <t>06_09_02 Víceletá podpora sportovní činnosti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</si>
  <si>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</si>
  <si>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</si>
  <si>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</si>
  <si>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 xml:space="preserve">10_01_01 Podpora zdravotně-preventivních aktivit pro všechny skupiny obyvatel </t>
  </si>
  <si>
    <t>10_01_02 Podpora významných aktivit v oblasti zdravotnictví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</si>
  <si>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</si>
  <si>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</si>
  <si>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</si>
  <si>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</si>
  <si>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>11</t>
  </si>
  <si>
    <t>12</t>
  </si>
  <si>
    <t>13</t>
  </si>
  <si>
    <t>Rezerva - PO</t>
  </si>
  <si>
    <t>07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</si>
  <si>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</si>
  <si>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</si>
  <si>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</si>
  <si>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 xml:space="preserve">Příloha </t>
  </si>
  <si>
    <t>Předfinancování - úvěr</t>
  </si>
  <si>
    <t>Předfinancování - rozpočet OK</t>
  </si>
  <si>
    <t xml:space="preserve">a) </t>
  </si>
  <si>
    <t xml:space="preserve">b) </t>
  </si>
  <si>
    <t>c)</t>
  </si>
  <si>
    <t xml:space="preserve">d) </t>
  </si>
  <si>
    <t>e)</t>
  </si>
  <si>
    <t>b) rozpracované investice</t>
  </si>
  <si>
    <t>-</t>
  </si>
  <si>
    <t xml:space="preserve">Dotační programy / tituly </t>
  </si>
  <si>
    <t>nárůst/snížení v tis. Kč</t>
  </si>
  <si>
    <t xml:space="preserve">Odbory Krajského úřadu Olomouckého kraje </t>
  </si>
  <si>
    <t>5=4/3</t>
  </si>
  <si>
    <t>78</t>
  </si>
  <si>
    <t>b) Splátky úvěrů</t>
  </si>
  <si>
    <t xml:space="preserve">Příjem z poskytování služeb a ostatní příjmy z vlastní činnosti </t>
  </si>
  <si>
    <t xml:space="preserve">            příspěvek na provoz - plyn</t>
  </si>
  <si>
    <t xml:space="preserve">            příspěvek na provoz - elektřina</t>
  </si>
  <si>
    <t xml:space="preserve">Neinvestiční přijaté transfery od obcí a krajů </t>
  </si>
  <si>
    <t>Příjem z daně z příjmů fyzických osob placená plátci</t>
  </si>
  <si>
    <t>Příjem z daně z příjmů fyzických osob placená poplatníky</t>
  </si>
  <si>
    <t xml:space="preserve">Příjem z daně z příjmů právnických osob </t>
  </si>
  <si>
    <t>Příjem z daně z přidané hodnoty</t>
  </si>
  <si>
    <t>Příjem ze správních poplatků</t>
  </si>
  <si>
    <t>Příjem z poskytování služeb, výrobků, prací, výkonů a práv</t>
  </si>
  <si>
    <t xml:space="preserve">Příjem z odvodů příspěvkových organizací </t>
  </si>
  <si>
    <t xml:space="preserve">Příjem z pronájmu  nebo pachtu pozemků      </t>
  </si>
  <si>
    <t xml:space="preserve">Příjem z pronájmu nebo pachtu ostatních nemovitých věcí a jejich částí    </t>
  </si>
  <si>
    <t>Příjem z pronájmu nebo pachtu movitých věcí</t>
  </si>
  <si>
    <t xml:space="preserve">Příjem sankčních plateb přijatých od státu, obcí a krajů     </t>
  </si>
  <si>
    <t>Příjem sančních plateb přijatých od jiných osob</t>
  </si>
  <si>
    <t xml:space="preserve">Příjem z prodeje krátkodobého a drobného dlouhodobého majetku </t>
  </si>
  <si>
    <t>Přijaté neinvestiční příspěvky a náhrady</t>
  </si>
  <si>
    <t xml:space="preserve">Příjem z prodeje pozemků       </t>
  </si>
  <si>
    <t xml:space="preserve">Příjem z prodeje ostatních nemovitých věcí a jejich částí </t>
  </si>
  <si>
    <t xml:space="preserve">Příjem z prodeje ostatního hmotného dlouhodobého majetku </t>
  </si>
  <si>
    <t>Příjem z úroků</t>
  </si>
  <si>
    <t>Neinvestiční přijaté transfery ze státního rozpočtu v rámci souhrnného dotačního vztahu</t>
  </si>
  <si>
    <t xml:space="preserve">Neinvestiční přijaté transfery od obcí </t>
  </si>
  <si>
    <t>Neinvestiční přijaté transfery od krajů</t>
  </si>
  <si>
    <t xml:space="preserve">Odbor kancelář ředitele - nouzové ubytování </t>
  </si>
  <si>
    <t xml:space="preserve">15_01_01 Podpora přípravy a realizace SMART opatření </t>
  </si>
  <si>
    <t xml:space="preserve">15_01_02 Podpora realizace SMART opatření v oblasti eHealth </t>
  </si>
  <si>
    <t xml:space="preserve">05_04 Víceletá podpora významných kulturních projektů </t>
  </si>
  <si>
    <t>311</t>
  </si>
  <si>
    <t>312</t>
  </si>
  <si>
    <t xml:space="preserve">g) příspěvek na mezikrajské smlouvy na drážní dopravu </t>
  </si>
  <si>
    <t xml:space="preserve">a) na havárie </t>
  </si>
  <si>
    <t>b) na energie</t>
  </si>
  <si>
    <t>313</t>
  </si>
  <si>
    <t>c) dopravní obslužnost</t>
  </si>
  <si>
    <t>16</t>
  </si>
  <si>
    <t>15</t>
  </si>
  <si>
    <t>11-12</t>
  </si>
  <si>
    <t>41-42</t>
  </si>
  <si>
    <t>Odbor kancelář ředitele - nouzové ubytování</t>
  </si>
  <si>
    <t>Příjem z daně z příjmů fyzických osob vybíraná srážkou podle zvláštní sazby</t>
  </si>
  <si>
    <t xml:space="preserve">Změna stavu krátkodobých prostředků na bankovních účtech a aktivní krátkodobé operace řízení likvidity - příjmy </t>
  </si>
  <si>
    <t xml:space="preserve">           příspěvek na provoz - teplo </t>
  </si>
  <si>
    <t xml:space="preserve">     z toho: předfinancování </t>
  </si>
  <si>
    <t xml:space="preserve"> z toho: předfinancování</t>
  </si>
  <si>
    <t>08_01_04 Podpora infrastruktury sociálních služeb na území Olomouckého kraje</t>
  </si>
  <si>
    <t>06_07 Program na podporu rekonstrukci sportovních zařízení v obcích Olomouckého kraje  v roce 2024</t>
  </si>
  <si>
    <t>10_04  Program podpory stipendií poskytovatelů akutní lůžkové péče v roce 2022</t>
  </si>
  <si>
    <t>12_01_05 Podpora kinematografie</t>
  </si>
  <si>
    <t>Srovnání (nárůst)</t>
  </si>
  <si>
    <t>b) příspěvek na provoz - mzdové náklady</t>
  </si>
  <si>
    <t>c) příspěvek na provoz - odpisy</t>
  </si>
  <si>
    <t>d) příspěvek na provoz - účelově určený příspěvek</t>
  </si>
  <si>
    <t>e) příspěvek na provoz - plyn</t>
  </si>
  <si>
    <t>f) příspěvek na provoz - elektrická energie</t>
  </si>
  <si>
    <t>g) příspěvek na provoz - teplo</t>
  </si>
  <si>
    <t>314</t>
  </si>
  <si>
    <t xml:space="preserve">c) příspěvek na úhradu protarifovací ztráty - drážní doprava </t>
  </si>
  <si>
    <t xml:space="preserve">e) příspěvek na provoz - nájemné </t>
  </si>
  <si>
    <t>f) příspěvek na provoz - záchr. archeol. Výzkum</t>
  </si>
  <si>
    <t xml:space="preserve">g) příspěvek na provoz - plyn </t>
  </si>
  <si>
    <t>h) příspěvek na provoz - elektrická energie</t>
  </si>
  <si>
    <t xml:space="preserve">i) příspěvek na provoz - teplo </t>
  </si>
  <si>
    <t>d) energeticky úsporná opatření</t>
  </si>
  <si>
    <t>315</t>
  </si>
  <si>
    <t xml:space="preserve">Účelové dotace ze státního rozpočtu </t>
  </si>
  <si>
    <t>e) příspěvek na provoz - nájemné</t>
  </si>
  <si>
    <t>i) rezerva pro PO - vybevení DM</t>
  </si>
  <si>
    <t>310</t>
  </si>
  <si>
    <t>Výdaje na neinvestiční nákupy a související výdaje</t>
  </si>
  <si>
    <t xml:space="preserve">Neinvestiční transfery a některé náhrady fyzickým osobám </t>
  </si>
  <si>
    <t>Výdaje na platy a obdobné a související výdaje</t>
  </si>
  <si>
    <t>Mgr. Ing. Jitka Hejlová</t>
  </si>
  <si>
    <t>Ostatní neinevestiční výdaje</t>
  </si>
  <si>
    <t>h)</t>
  </si>
  <si>
    <t>Energetika</t>
  </si>
  <si>
    <t xml:space="preserve">Financování </t>
  </si>
  <si>
    <t xml:space="preserve">pol.  8115 - Změny stavu krátkodobých prostředků na bankovních účtech kromě změn stavů účtů státních finančních aktiv, které tvoří kapitolu Operace státních finančních aktiv </t>
  </si>
  <si>
    <t>Splátka úvěru Komerční banky, a.s. na kofinancování evropských programů</t>
  </si>
  <si>
    <t xml:space="preserve">Splátka revolvingového úvěru u Komerční banky na kofinancování a předfinancování projektů </t>
  </si>
  <si>
    <t>79</t>
  </si>
  <si>
    <t>64</t>
  </si>
  <si>
    <t>72</t>
  </si>
  <si>
    <t>mezisoučet - daňové příjmy - příjmy z RUD</t>
  </si>
  <si>
    <t>1. Návrh rozpočtu Olomouckého kraje na rok 2025 (bilance) - zkrácená verze</t>
  </si>
  <si>
    <t>Schválený rozpočet 2024</t>
  </si>
  <si>
    <t xml:space="preserve">Návrh rozpočtu 2025
 </t>
  </si>
  <si>
    <t xml:space="preserve">Změna stavu krátkodobých prostředků na bankovních účtech a aktivní krátkodobé operace řízení likvidity - příjmy - Fond na podporu výstavby a obnovy vodohospodářské infrastruktury na území Olomouckého kraje  </t>
  </si>
  <si>
    <t>c) rozporacované investice - program Energetika</t>
  </si>
  <si>
    <t xml:space="preserve">d) nové opravy </t>
  </si>
  <si>
    <t xml:space="preserve">e) nové investice </t>
  </si>
  <si>
    <t xml:space="preserve">f) nákupy </t>
  </si>
  <si>
    <t xml:space="preserve">g) projekty z dotace - neinvestiční </t>
  </si>
  <si>
    <t xml:space="preserve">h) projekty z dotace - investiční </t>
  </si>
  <si>
    <t>i) projekty z dotace - program Energetika</t>
  </si>
  <si>
    <t>j) energetika</t>
  </si>
  <si>
    <t>Upravený rozpočet k 
31. 7. 2024</t>
  </si>
  <si>
    <t>Návrh rozpočtu 2025</t>
  </si>
  <si>
    <t>Odbor Krajský stavební úřad</t>
  </si>
  <si>
    <t>1 b) Výdaje Olomouckého kraje na rok 2025</t>
  </si>
  <si>
    <t>14_01 Program na podporu místních produktů 2025</t>
  </si>
  <si>
    <t>01_01 Program obnovy venkova Olomouckého kraje 2025</t>
  </si>
  <si>
    <t>15_01 Smart region Olomoucký kraj 2025</t>
  </si>
  <si>
    <t>15_01_03 Podpora nákupu a realizace samoobslužných multifunkčních SMART boxů</t>
  </si>
  <si>
    <t>16_01_Podpora infrastruktury v oblastech Jesenicka a Šumperska zasažených povodněmi ze září 2024</t>
  </si>
  <si>
    <t xml:space="preserve">Program na podporu včelařů na území Olomouckého kraje </t>
  </si>
  <si>
    <t>02_01 Program na podporu aktivit v oblasti životního prostředí a zemědělství 2025</t>
  </si>
  <si>
    <t>02_01_01 Podpora realizace opatření v oblasti životního prostředí a zemědělství</t>
  </si>
  <si>
    <t>02_01_02 Podpora vzdělávání a osvěty v oblasti životního prostředí a zemědělství</t>
  </si>
  <si>
    <t>02_01_03 Podpora činnosti nekomerčních zájmových spolků a organizací působících v oblasti životního prostředí a zemědělství</t>
  </si>
  <si>
    <t>03_02 Dotace obcím na území Olomouckého kraje na řešení mimořádných událostí v oblasti vodohospodářské infrastruktury 2025</t>
  </si>
  <si>
    <t>04_01 Program na podporu vzdělávání na vysokých školách v Olomouckém kraji v roce 2025</t>
  </si>
  <si>
    <t>04_02 Studijní stipendium Olomouckého kraje na studium v zahraničí v roce 2025</t>
  </si>
  <si>
    <t>04_03 Program na podporu environmentálního vzdělávání, výchovy a osvěty v Olomouckém kraji v roce 2025</t>
  </si>
  <si>
    <t>04_04 Program na podporu práce s dětmi a mládeží v Olomouckém kraji v roce 2025</t>
  </si>
  <si>
    <t>04_06 Program na podporu aktivit a projektů primární prevence v Olomouckém kraji v roce 2025</t>
  </si>
  <si>
    <t>08_01 Dotační program pro sociální oblast 2025</t>
  </si>
  <si>
    <t xml:space="preserve">Dotační program na podporu dluhového poradenství v Olomouckém kraji </t>
  </si>
  <si>
    <t>Podpora infrastruktury sociálních služeb na území Olomouckého kraje II</t>
  </si>
  <si>
    <t>09_01 Podpora výstavby a oprav cyklostezek 2025</t>
  </si>
  <si>
    <t>09_02 Podopora opatření pro zvýšení bezpečnosti provozu a budování přechodů pro chodce 2025</t>
  </si>
  <si>
    <t>09_03 Podpora výstavby, obnovy a vybavení dětských dopravních hřišť 2025</t>
  </si>
  <si>
    <t>06_02 Program na podporu sportu v Olomouckém kraji v roce 2025</t>
  </si>
  <si>
    <t>06_03 Program na podporu volnočasových aktivit se zaměřením na tělovýchovu a rekreační sport v Olomouckém kraji v roce 2025</t>
  </si>
  <si>
    <t>06_04 Program na podporu sportovní činnosti dětí a mládeže v Olomouckém kraji v roce 2025</t>
  </si>
  <si>
    <t>06_01 Program na podporu sportovní činnosti v Olomouckém kraji v roce 2025</t>
  </si>
  <si>
    <t>06_05 Program na podporu handicapovaných sportovců v Olomouckém kraji v roce 2025</t>
  </si>
  <si>
    <t>06_06 Program na podporu investičních akcí v oblasti sportu - technické a sportovní vybavení sportovních a tělovýchovných zařízení v Olomouckém kraji v roce 2025</t>
  </si>
  <si>
    <t>06_09 Víceletá podpora v oblasti sportu 2025-2027</t>
  </si>
  <si>
    <t>06_08 Program na podporu výstavby a rekonstrukci sportovních zařízení kofinancovaných z Národní sportovní agentury v roce 2025</t>
  </si>
  <si>
    <t>07_01 Program památkové péče v Olomouckém kraji v roce 2025</t>
  </si>
  <si>
    <t>05_01 Program podpory kultury v Olomouckém kraji v roce 2025</t>
  </si>
  <si>
    <t>05_02 Program na podporu stálých profesionálních souborů v Olomouckém kraji v roce 2025</t>
  </si>
  <si>
    <t>Program na podporu investičních projektů v oblasti kultury v Olomouckém kraji v roce 2024</t>
  </si>
  <si>
    <t>05_03 Program na podporu pořízení drobného majektu v oblasti kultury v Olomouckém kraji v roce 2025</t>
  </si>
  <si>
    <t>10_02 Program pro oblast protidrogové prevence v roce 2025</t>
  </si>
  <si>
    <t>Podpora kontaktních a poradenských služeb a terénních programů</t>
  </si>
  <si>
    <t>Podpora ambulantní léčby a doléčovacích programů</t>
  </si>
  <si>
    <t>Podpora specificke selektivní a indikované primární prevence</t>
  </si>
  <si>
    <t>10_01 Program na podporu zdraví a zdravého životního stylu v roce 2025</t>
  </si>
  <si>
    <t>10_03 Program pro vzdělávání ve zdravotnictví v roce 2025</t>
  </si>
  <si>
    <t>10_04_ Program na podporu poskytovatelů stipendií ve zdravotnictví v roce 2025</t>
  </si>
  <si>
    <t>11_01 Program na podporu poskytovatelů paliativní péče v roce 2025</t>
  </si>
  <si>
    <t>Podpora poskytovatelů lůžkové paliativní péče</t>
  </si>
  <si>
    <t>Podpora poskytovatelů domácí paliativní péče</t>
  </si>
  <si>
    <t>Podpora vzdělávání v oblasti paliativní péče</t>
  </si>
  <si>
    <t>12_01 Program na podporu cestovního ruchu a zahraničních vztahů 2025</t>
  </si>
  <si>
    <t>12_02_Program na podporu infrastruktury cestovního ruchu</t>
  </si>
  <si>
    <t>13_02 Program na podporu JSDH 2025</t>
  </si>
  <si>
    <t>13_02_01 Dotace na pořízení, technické zhodnocení a opravu požární techniky, nákup věcného vybavení a zajištění akceschopnosti JSDH obcí Olomouckého kraje</t>
  </si>
  <si>
    <t xml:space="preserve">13_02_02 Dotace na pořízení cisternových automobilových stříkaček a dopravních automobilů pro JSDH obcí Olomouckého kraje s dotací MV ČR  </t>
  </si>
  <si>
    <t>13_01 Dotace na činnost a akce spolků hasičů a pobočných spolků hasičů Olomouckého kraje 2025</t>
  </si>
  <si>
    <t xml:space="preserve">13_01_01 Dotace na akce spolků hasičů a pobočných spolků hasičů Olomouckého kraje </t>
  </si>
  <si>
    <t>13_01_02 Dotace na činnost spolků hasičů a pobočných spolků hasičů Olomouckého kraje</t>
  </si>
  <si>
    <t>1 c) Výdaje Olomouckého kraje na rok 2025</t>
  </si>
  <si>
    <t>UPRAVENÝ ROZPOČET                    (k 31.7.2024)</t>
  </si>
  <si>
    <t>h) příspěvek na provoz - opravy nemovitého majetku</t>
  </si>
  <si>
    <t>j) příspěvek na provoz - opravy nemovitého majetku</t>
  </si>
  <si>
    <t>k) REZERVA - záchr. archeologický výzkum</t>
  </si>
  <si>
    <t>l) rezerva pro PO</t>
  </si>
  <si>
    <t>1 d) Výdaje Olomouckého kraje na rok 2025</t>
  </si>
  <si>
    <t>1 e) Výdaje Olomouckého kraje na rok 2025</t>
  </si>
  <si>
    <t>Ing. Pavel Růžička</t>
  </si>
  <si>
    <t xml:space="preserve">zástupce vedoucí odboru </t>
  </si>
  <si>
    <t>§ 6113, seskupení pol. 51 - Výdaje na neinvestiční nákupy a související výdaje</t>
  </si>
  <si>
    <t>Služby peněžních ústavů</t>
  </si>
  <si>
    <t>Úrazové pojištění uvolněných členů ZOK v rámci konání Sportovního dne zaměstnanců KÚOK.</t>
  </si>
  <si>
    <t>Nákup ostatních služeb</t>
  </si>
  <si>
    <t xml:space="preserve">Osobní účty pro uvolněné členy ZOK a příspěvek na stravné uvolněným členům ZOK.  Při výši tvorby FSP 4,2 % a stávající struktuře čerpání benefitů. Nákup osttních služeb v rámci sportovních, kulturních a společenských akcí uvolněných členů ZOK (startovné atd.). </t>
  </si>
  <si>
    <t>Výdaje na věcné dary</t>
  </si>
  <si>
    <t>Výdaje na vánoční dárky pro uvolněné členy ZOK.</t>
  </si>
  <si>
    <t xml:space="preserve">
.  
</t>
  </si>
  <si>
    <t xml:space="preserve">§ 6113, seskupení pol. 54 - Neinvestiční transfery a některé náhrady fyzickým osobám </t>
  </si>
  <si>
    <t>Ostatní neinvestiční transfery fyzickým osobám</t>
  </si>
  <si>
    <t>Příspěvek na penzijní připojištění u penzijního fondu a životní pojištění uvolněných členů ZOK.  Při  výši tvorby FSP 4,2 % a stávající struktuře čerpání benefitů.</t>
  </si>
  <si>
    <t>§ 6113, seskupení pol. 59 - Ostatní neinvestiční výdaje</t>
  </si>
  <si>
    <t>Nespecifikované rezervy</t>
  </si>
  <si>
    <t>Nespecifikovaná rezerva pro uvolněné členy ZOK.</t>
  </si>
  <si>
    <t>§ 6172, seskupení pol. 50 - Výdaje na platy a obdobné a související výdaje</t>
  </si>
  <si>
    <t>Odměny za užití duševního vlastnictví</t>
  </si>
  <si>
    <t xml:space="preserve">Honoráře za umělecká vystoupení při společenských akcích, platby výkonným umělcům OSA.
</t>
  </si>
  <si>
    <t>§ 6172, seskupení pol. 51 - Výdaje na neinvestiční nákupy a související výdaje</t>
  </si>
  <si>
    <t>Nákup materiálu jinde nezařazený</t>
  </si>
  <si>
    <t>Výdaje na drobný materiál (Sportovní den, zahrdní slavnost, vánoční večírek, mikulášská nadílka).</t>
  </si>
  <si>
    <t xml:space="preserve">Poplatky za vedení účtu, úrazové pojištění zaměstnanců KÚOK v rámci sportovního dne, mezikrajských sportovních her a příměstského tábora. </t>
  </si>
  <si>
    <t>Nájemné</t>
  </si>
  <si>
    <t>Nájemné prostor v rámci realizace sportovních, kulturních a společenských akcí pro zaměstnance KÚOK.</t>
  </si>
  <si>
    <t>Nákup služeb v rámci sportovních, kulturních a společenských akcí zaměstnanců KÚOK.</t>
  </si>
  <si>
    <t xml:space="preserve">Osobní účty - zaměstnanci KÚOK. Při výši tvorby FSP 4,2 % a stávající struktuře čerpání benefitů. 
</t>
  </si>
  <si>
    <t xml:space="preserve">Příspěvek na závodní stravování - zaměstnanci KÚOK. 
</t>
  </si>
  <si>
    <t>Pohoštění</t>
  </si>
  <si>
    <t>Výdaje určené na pohoštění zaměstnanců KÚOK - sportovní den, zahradní slavnost, vánoční setkání.</t>
  </si>
  <si>
    <t>Výdaje na vánoční kolekce a vánoční balíčky pro zaměstnance KÚOK a jejich děti.</t>
  </si>
  <si>
    <t xml:space="preserve">§ 6172, seskupení pol. 54 - Neinvestiční transfery a některé náhrady fyzickým osobám </t>
  </si>
  <si>
    <t xml:space="preserve">Příspěvek na penzijní připojištění u penzijního fondu a životní pojištění zaměstnanců KÚOK.  Při výši tvorby FSP 4,2 % a stávající struktuře čerpání benefitů. 
</t>
  </si>
  <si>
    <t>Peněžité dary (narození dítěte, životní jubileum, odchod do starobního důchodu).</t>
  </si>
  <si>
    <t>Peněžité dary - sociální výpomoc.</t>
  </si>
  <si>
    <t>Peněžité dary pro zaměstnance KÚOK při příležitosti pracovního výročí.</t>
  </si>
  <si>
    <t>03_01 Fond na podporu výstavby a obnovy vodohospodářské infrastruktury na území Olomouckého kraje 2025</t>
  </si>
  <si>
    <t>1 f) Výdaje Olomouckého kraje na rok 2025</t>
  </si>
  <si>
    <t>1 g) Výdaje Olomouckého kraje na rok 2025</t>
  </si>
  <si>
    <t>IF PO, RF a ostatní zdroje</t>
  </si>
  <si>
    <t>Celkové náklady v roce 2025</t>
  </si>
  <si>
    <t>Rozpracované opravy</t>
  </si>
  <si>
    <t>Rozpracované investice</t>
  </si>
  <si>
    <t>Rozpracované investice - program Energetika</t>
  </si>
  <si>
    <t>b)</t>
  </si>
  <si>
    <t>Nové opravy</t>
  </si>
  <si>
    <t>Nové investice</t>
  </si>
  <si>
    <t>Nákupy</t>
  </si>
  <si>
    <t>Dotační projekty - neinvestiční</t>
  </si>
  <si>
    <t>Dotační projekty - investiční</t>
  </si>
  <si>
    <t>Dotační projekty - program Energetika</t>
  </si>
  <si>
    <t>Nemovitý majetek (novostavba) a movitý majetek pořízený v rámci investičních akcí uvedených v Příloze 5 se svěřuje příslušné příspěvkové organizaci do hospodaření, a to ke dni aktivace předmětného majetku.</t>
  </si>
  <si>
    <t>1 i) Návrh rozpočtu Olomouckého kraje na rok 2025</t>
  </si>
  <si>
    <t xml:space="preserve">Opravy, investice, nákupy a dotační projekty </t>
  </si>
  <si>
    <t xml:space="preserve">Příjem dobíhajících úhrad z dobývacího prostoru a z vydobytých nerostů </t>
  </si>
  <si>
    <t>Splátky půjčených prostředků od nefinančních podnikatelů - právnických osob</t>
  </si>
  <si>
    <t xml:space="preserve">Ostatní neinvestiční přijaté transfery ze státního rozpočtu </t>
  </si>
  <si>
    <t>Platby za odebrané množství podzemní vody</t>
  </si>
  <si>
    <t xml:space="preserve">d) Účelové dotace ze státního rozpočtu </t>
  </si>
  <si>
    <t xml:space="preserve">UZ </t>
  </si>
  <si>
    <t>1 a) PŘÍJMY OLOMOUCKÉHO KRAJE NA ROK 2025</t>
  </si>
  <si>
    <t>7</t>
  </si>
  <si>
    <t>8-9</t>
  </si>
  <si>
    <t xml:space="preserve">g) Účelové dotace ze státního rozpočtu </t>
  </si>
  <si>
    <t xml:space="preserve">h) Financování </t>
  </si>
  <si>
    <t>1 h) Výdaje Olomouckého kraje na rok 2025</t>
  </si>
  <si>
    <t>h) Opravy, investice, nákupy a projekty</t>
  </si>
  <si>
    <t>2. Příjmy Olomouckého kraje na rok 2025</t>
  </si>
  <si>
    <t xml:space="preserve">a) Příjmy Olomouckého kraje </t>
  </si>
  <si>
    <t>19-20</t>
  </si>
  <si>
    <t>b) Návrh daňových příjmů Olomouckého kraje</t>
  </si>
  <si>
    <t>21</t>
  </si>
  <si>
    <t>c) Příjmy Olomouckého kraje  - přehled za odbory</t>
  </si>
  <si>
    <t>22-25</t>
  </si>
  <si>
    <t>26-29</t>
  </si>
  <si>
    <t>d) Příjmy Olomouckého kraje - odvody příspěvkových organizací</t>
  </si>
  <si>
    <t>3. Výdaje Olomouckého kraje na rok 2025</t>
  </si>
  <si>
    <t>30</t>
  </si>
  <si>
    <t>34-35</t>
  </si>
  <si>
    <t>36-38</t>
  </si>
  <si>
    <t>39-40</t>
  </si>
  <si>
    <t>43</t>
  </si>
  <si>
    <t>44-47</t>
  </si>
  <si>
    <t>48-50</t>
  </si>
  <si>
    <t>51-53</t>
  </si>
  <si>
    <t>54-57</t>
  </si>
  <si>
    <t>58</t>
  </si>
  <si>
    <t>59-60</t>
  </si>
  <si>
    <t>61-62</t>
  </si>
  <si>
    <t>63</t>
  </si>
  <si>
    <t>65-71</t>
  </si>
  <si>
    <t>73</t>
  </si>
  <si>
    <t>74-75</t>
  </si>
  <si>
    <t>76-77</t>
  </si>
  <si>
    <t>80</t>
  </si>
  <si>
    <t>81</t>
  </si>
  <si>
    <t>82-84</t>
  </si>
  <si>
    <t>85</t>
  </si>
  <si>
    <t>86-87</t>
  </si>
  <si>
    <t>89</t>
  </si>
  <si>
    <t>90</t>
  </si>
  <si>
    <t>91-98</t>
  </si>
  <si>
    <t>99-100</t>
  </si>
  <si>
    <t>101-102</t>
  </si>
  <si>
    <t>103-104</t>
  </si>
  <si>
    <t>105-106</t>
  </si>
  <si>
    <t>107-108</t>
  </si>
  <si>
    <t>109</t>
  </si>
  <si>
    <t xml:space="preserve">f) Účelové dotace ze státního rozpočtu </t>
  </si>
  <si>
    <t>110</t>
  </si>
  <si>
    <t>111</t>
  </si>
  <si>
    <t>112</t>
  </si>
  <si>
    <t>113</t>
  </si>
  <si>
    <t>114</t>
  </si>
  <si>
    <t>115</t>
  </si>
  <si>
    <t>5. Opravy, investice, nákupy a dotační projekty v roce 2025</t>
  </si>
  <si>
    <t>118-196</t>
  </si>
  <si>
    <t>6. Očekávané plnění rozpočtu Olomouckého kraje k 31.12.2024</t>
  </si>
  <si>
    <t>197-198</t>
  </si>
  <si>
    <t>199-205</t>
  </si>
  <si>
    <t>a) zapojení zůstatků na bankovních účtech z minulého období</t>
  </si>
  <si>
    <t>a) Zapojení zůstatku na bankovních účtech z minulého období</t>
  </si>
  <si>
    <t>celkem z rozpočtu OK</t>
  </si>
  <si>
    <t>31-33</t>
  </si>
  <si>
    <t>07, 13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</si>
</sst>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00"/>
    <numFmt numFmtId="167" formatCode="0\-00"/>
    <numFmt numFmtId="168" formatCode="\+#,##0"/>
    <numFmt numFmtId="169" formatCode="\-\ "/>
    <numFmt numFmtId="170" formatCode="_-* #,##0.00\ _K_č_-;\-* #,##0.00\ _K_č_-;_-* &quot;-&quot;??\ _K_č_-;_-@_-"/>
    <numFmt numFmtId="171" formatCode="#,##0.0\ &quot;Kč&quot;"/>
    <numFmt numFmtId="172" formatCode="#,##0_\&quot;tis.Kč&quot;"/>
  </numFmts>
  <fonts count="47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5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3"/>
      <name val="Arial"/>
      <family val="2"/>
      <charset val="238"/>
    </font>
    <font>
      <u/>
      <sz val="10"/>
      <name val="Arial"/>
      <family val="2"/>
      <charset val="238"/>
    </font>
    <font>
      <b/>
      <i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20" fillId="0" borderId="0"/>
    <xf numFmtId="170" fontId="8" fillId="0" borderId="0" applyFont="0" applyFill="0" applyBorder="0" applyAlignment="0" applyProtection="0"/>
    <xf numFmtId="0" fontId="19" fillId="0" borderId="0"/>
    <xf numFmtId="0" fontId="8" fillId="0" borderId="0"/>
    <xf numFmtId="0" fontId="28" fillId="0" borderId="0"/>
    <xf numFmtId="0" fontId="19" fillId="0" borderId="0"/>
    <xf numFmtId="0" fontId="8" fillId="0" borderId="0">
      <alignment wrapText="1"/>
    </xf>
    <xf numFmtId="0" fontId="8" fillId="0" borderId="0"/>
  </cellStyleXfs>
  <cellXfs count="969">
    <xf numFmtId="0" fontId="0" fillId="0" borderId="0" xfId="0"/>
    <xf numFmtId="0" fontId="6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/>
    </xf>
    <xf numFmtId="0" fontId="8" fillId="0" borderId="0" xfId="0" applyFont="1" applyFill="1"/>
    <xf numFmtId="3" fontId="6" fillId="2" borderId="14" xfId="0" applyNumberFormat="1" applyFont="1" applyFill="1" applyBorder="1"/>
    <xf numFmtId="3" fontId="6" fillId="2" borderId="14" xfId="0" applyNumberFormat="1" applyFont="1" applyFill="1" applyBorder="1" applyAlignment="1">
      <alignment vertical="center"/>
    </xf>
    <xf numFmtId="0" fontId="7" fillId="0" borderId="17" xfId="0" applyFont="1" applyFill="1" applyBorder="1"/>
    <xf numFmtId="3" fontId="2" fillId="2" borderId="18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/>
    </xf>
    <xf numFmtId="3" fontId="10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3" fontId="6" fillId="2" borderId="25" xfId="0" applyNumberFormat="1" applyFont="1" applyFill="1" applyBorder="1"/>
    <xf numFmtId="3" fontId="12" fillId="2" borderId="14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3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36" xfId="0" applyFont="1" applyFill="1" applyBorder="1" applyAlignment="1">
      <alignment horizontal="center"/>
    </xf>
    <xf numFmtId="0" fontId="6" fillId="0" borderId="14" xfId="0" applyFont="1" applyFill="1" applyBorder="1"/>
    <xf numFmtId="0" fontId="12" fillId="0" borderId="14" xfId="0" applyFont="1" applyFill="1" applyBorder="1"/>
    <xf numFmtId="0" fontId="12" fillId="0" borderId="34" xfId="0" applyFont="1" applyFill="1" applyBorder="1"/>
    <xf numFmtId="0" fontId="1" fillId="0" borderId="0" xfId="0" applyFont="1" applyFill="1" applyAlignment="1"/>
    <xf numFmtId="0" fontId="4" fillId="2" borderId="7" xfId="0" applyFont="1" applyFill="1" applyBorder="1"/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Border="1"/>
    <xf numFmtId="0" fontId="6" fillId="2" borderId="13" xfId="0" applyFont="1" applyFill="1" applyBorder="1" applyAlignment="1">
      <alignment horizontal="center"/>
    </xf>
    <xf numFmtId="0" fontId="6" fillId="2" borderId="9" xfId="0" applyFont="1" applyFill="1" applyBorder="1"/>
    <xf numFmtId="168" fontId="14" fillId="0" borderId="0" xfId="0" applyNumberFormat="1" applyFont="1" applyFill="1"/>
    <xf numFmtId="3" fontId="14" fillId="0" borderId="0" xfId="0" applyNumberFormat="1" applyFont="1" applyFill="1"/>
    <xf numFmtId="0" fontId="14" fillId="0" borderId="0" xfId="0" applyFont="1" applyFill="1"/>
    <xf numFmtId="0" fontId="10" fillId="0" borderId="0" xfId="0" applyFont="1" applyFill="1"/>
    <xf numFmtId="168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168" fontId="13" fillId="0" borderId="0" xfId="0" applyNumberFormat="1" applyFont="1" applyFill="1"/>
    <xf numFmtId="3" fontId="13" fillId="0" borderId="0" xfId="0" applyNumberFormat="1" applyFont="1" applyFill="1"/>
    <xf numFmtId="3" fontId="12" fillId="0" borderId="34" xfId="0" applyNumberFormat="1" applyFont="1" applyFill="1" applyBorder="1" applyAlignment="1">
      <alignment horizontal="left"/>
    </xf>
    <xf numFmtId="0" fontId="6" fillId="0" borderId="11" xfId="0" applyFont="1" applyFill="1" applyBorder="1"/>
    <xf numFmtId="0" fontId="15" fillId="0" borderId="0" xfId="0" applyFont="1" applyFill="1"/>
    <xf numFmtId="3" fontId="6" fillId="2" borderId="20" xfId="0" applyNumberFormat="1" applyFont="1" applyFill="1" applyBorder="1"/>
    <xf numFmtId="3" fontId="2" fillId="3" borderId="27" xfId="0" applyNumberFormat="1" applyFont="1" applyFill="1" applyBorder="1"/>
    <xf numFmtId="0" fontId="6" fillId="0" borderId="26" xfId="0" applyFont="1" applyFill="1" applyBorder="1"/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wrapText="1"/>
    </xf>
    <xf numFmtId="3" fontId="13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4" xfId="0" applyNumberFormat="1" applyFont="1" applyFill="1" applyBorder="1" applyAlignment="1"/>
    <xf numFmtId="164" fontId="6" fillId="0" borderId="14" xfId="0" applyNumberFormat="1" applyFont="1" applyFill="1" applyBorder="1" applyAlignment="1">
      <alignment vertical="center"/>
    </xf>
    <xf numFmtId="164" fontId="6" fillId="0" borderId="14" xfId="0" applyNumberFormat="1" applyFont="1" applyFill="1" applyBorder="1" applyAlignment="1"/>
    <xf numFmtId="0" fontId="6" fillId="0" borderId="0" xfId="0" applyFont="1" applyFill="1"/>
    <xf numFmtId="3" fontId="6" fillId="0" borderId="0" xfId="0" applyNumberFormat="1" applyFont="1" applyFill="1"/>
    <xf numFmtId="0" fontId="6" fillId="0" borderId="12" xfId="0" applyFont="1" applyFill="1" applyBorder="1" applyAlignment="1"/>
    <xf numFmtId="0" fontId="12" fillId="0" borderId="14" xfId="0" applyFont="1" applyFill="1" applyBorder="1" applyAlignment="1"/>
    <xf numFmtId="0" fontId="16" fillId="3" borderId="41" xfId="0" applyFont="1" applyFill="1" applyBorder="1"/>
    <xf numFmtId="0" fontId="15" fillId="3" borderId="41" xfId="0" applyFont="1" applyFill="1" applyBorder="1"/>
    <xf numFmtId="0" fontId="15" fillId="3" borderId="0" xfId="0" applyFont="1" applyFill="1"/>
    <xf numFmtId="3" fontId="15" fillId="3" borderId="0" xfId="0" applyNumberFormat="1" applyFont="1" applyFill="1"/>
    <xf numFmtId="0" fontId="6" fillId="0" borderId="37" xfId="0" applyFont="1" applyFill="1" applyBorder="1" applyAlignment="1">
      <alignment horizontal="center"/>
    </xf>
    <xf numFmtId="0" fontId="13" fillId="0" borderId="7" xfId="0" applyFont="1" applyFill="1" applyBorder="1" applyAlignment="1"/>
    <xf numFmtId="0" fontId="13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6" fillId="0" borderId="0" xfId="0" applyFont="1" applyFill="1" applyBorder="1"/>
    <xf numFmtId="3" fontId="16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164" fontId="6" fillId="0" borderId="29" xfId="0" applyNumberFormat="1" applyFont="1" applyFill="1" applyBorder="1"/>
    <xf numFmtId="164" fontId="6" fillId="0" borderId="38" xfId="0" applyNumberFormat="1" applyFont="1" applyFill="1" applyBorder="1"/>
    <xf numFmtId="0" fontId="13" fillId="0" borderId="0" xfId="0" applyFont="1" applyFill="1" applyAlignment="1"/>
    <xf numFmtId="3" fontId="13" fillId="0" borderId="0" xfId="0" applyNumberFormat="1" applyFont="1" applyFill="1" applyAlignment="1"/>
    <xf numFmtId="164" fontId="6" fillId="0" borderId="29" xfId="0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164" fontId="6" fillId="2" borderId="14" xfId="0" applyNumberFormat="1" applyFont="1" applyFill="1" applyBorder="1"/>
    <xf numFmtId="4" fontId="24" fillId="3" borderId="47" xfId="2" applyNumberFormat="1" applyFont="1" applyFill="1" applyBorder="1" applyAlignment="1">
      <alignment vertical="center" shrinkToFit="1"/>
    </xf>
    <xf numFmtId="1" fontId="6" fillId="2" borderId="46" xfId="3" applyNumberFormat="1" applyFont="1" applyFill="1" applyBorder="1" applyAlignment="1">
      <alignment horizontal="center"/>
    </xf>
    <xf numFmtId="1" fontId="6" fillId="2" borderId="34" xfId="3" applyNumberFormat="1" applyFont="1" applyFill="1" applyBorder="1" applyAlignment="1">
      <alignment horizontal="center"/>
    </xf>
    <xf numFmtId="0" fontId="6" fillId="2" borderId="34" xfId="3" applyFont="1" applyFill="1" applyBorder="1" applyAlignment="1">
      <alignment wrapText="1"/>
    </xf>
    <xf numFmtId="1" fontId="6" fillId="2" borderId="46" xfId="3" applyNumberFormat="1" applyFont="1" applyFill="1" applyBorder="1" applyAlignment="1">
      <alignment horizontal="center" vertical="center"/>
    </xf>
    <xf numFmtId="1" fontId="6" fillId="2" borderId="34" xfId="3" applyNumberFormat="1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vertical="center" wrapText="1"/>
    </xf>
    <xf numFmtId="0" fontId="6" fillId="2" borderId="34" xfId="3" applyFont="1" applyFill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2" borderId="0" xfId="4" applyFont="1" applyFill="1"/>
    <xf numFmtId="3" fontId="7" fillId="2" borderId="0" xfId="4" applyNumberFormat="1" applyFont="1" applyFill="1"/>
    <xf numFmtId="3" fontId="7" fillId="3" borderId="3" xfId="4" applyNumberFormat="1" applyFont="1" applyFill="1" applyBorder="1"/>
    <xf numFmtId="4" fontId="7" fillId="3" borderId="4" xfId="4" applyNumberFormat="1" applyFont="1" applyFill="1" applyBorder="1"/>
    <xf numFmtId="0" fontId="21" fillId="2" borderId="0" xfId="4" applyFont="1" applyFill="1"/>
    <xf numFmtId="3" fontId="6" fillId="2" borderId="0" xfId="0" applyNumberFormat="1" applyFont="1" applyFill="1"/>
    <xf numFmtId="3" fontId="10" fillId="2" borderId="0" xfId="0" applyNumberFormat="1" applyFont="1" applyFill="1"/>
    <xf numFmtId="0" fontId="6" fillId="0" borderId="0" xfId="0" applyFont="1"/>
    <xf numFmtId="4" fontId="8" fillId="3" borderId="4" xfId="0" applyNumberFormat="1" applyFont="1" applyFill="1" applyBorder="1" applyAlignment="1">
      <alignment horizontal="center" vertical="center"/>
    </xf>
    <xf numFmtId="0" fontId="5" fillId="3" borderId="34" xfId="4" applyFont="1" applyFill="1" applyBorder="1" applyAlignment="1">
      <alignment horizontal="center"/>
    </xf>
    <xf numFmtId="3" fontId="5" fillId="3" borderId="44" xfId="0" applyNumberFormat="1" applyFont="1" applyFill="1" applyBorder="1" applyAlignment="1">
      <alignment horizontal="center" wrapText="1"/>
    </xf>
    <xf numFmtId="4" fontId="5" fillId="3" borderId="21" xfId="4" applyNumberFormat="1" applyFont="1" applyFill="1" applyBorder="1" applyAlignment="1">
      <alignment horizontal="center" vertical="center" wrapText="1"/>
    </xf>
    <xf numFmtId="3" fontId="7" fillId="3" borderId="56" xfId="4" applyNumberFormat="1" applyFont="1" applyFill="1" applyBorder="1"/>
    <xf numFmtId="4" fontId="24" fillId="3" borderId="57" xfId="0" applyNumberFormat="1" applyFont="1" applyFill="1" applyBorder="1"/>
    <xf numFmtId="0" fontId="6" fillId="2" borderId="58" xfId="0" applyFont="1" applyFill="1" applyBorder="1"/>
    <xf numFmtId="0" fontId="8" fillId="2" borderId="59" xfId="0" applyFont="1" applyFill="1" applyBorder="1" applyAlignment="1">
      <alignment horizontal="left"/>
    </xf>
    <xf numFmtId="3" fontId="24" fillId="2" borderId="59" xfId="0" applyNumberFormat="1" applyFont="1" applyFill="1" applyBorder="1"/>
    <xf numFmtId="4" fontId="24" fillId="2" borderId="60" xfId="0" applyNumberFormat="1" applyFont="1" applyFill="1" applyBorder="1"/>
    <xf numFmtId="0" fontId="8" fillId="2" borderId="46" xfId="0" applyFont="1" applyFill="1" applyBorder="1" applyAlignment="1">
      <alignment horizontal="left"/>
    </xf>
    <xf numFmtId="0" fontId="8" fillId="2" borderId="34" xfId="0" applyFont="1" applyFill="1" applyBorder="1" applyAlignment="1">
      <alignment wrapText="1"/>
    </xf>
    <xf numFmtId="3" fontId="8" fillId="2" borderId="34" xfId="0" applyNumberFormat="1" applyFont="1" applyFill="1" applyBorder="1"/>
    <xf numFmtId="4" fontId="8" fillId="2" borderId="21" xfId="0" applyNumberFormat="1" applyFont="1" applyFill="1" applyBorder="1"/>
    <xf numFmtId="0" fontId="8" fillId="2" borderId="61" xfId="0" applyFont="1" applyFill="1" applyBorder="1"/>
    <xf numFmtId="0" fontId="6" fillId="2" borderId="46" xfId="0" applyFont="1" applyFill="1" applyBorder="1"/>
    <xf numFmtId="0" fontId="8" fillId="2" borderId="20" xfId="0" applyFont="1" applyFill="1" applyBorder="1" applyAlignment="1">
      <alignment wrapText="1"/>
    </xf>
    <xf numFmtId="3" fontId="8" fillId="2" borderId="20" xfId="0" applyNumberFormat="1" applyFont="1" applyFill="1" applyBorder="1"/>
    <xf numFmtId="4" fontId="8" fillId="2" borderId="62" xfId="0" applyNumberFormat="1" applyFont="1" applyFill="1" applyBorder="1"/>
    <xf numFmtId="0" fontId="24" fillId="2" borderId="59" xfId="0" applyFont="1" applyFill="1" applyBorder="1" applyAlignment="1">
      <alignment horizontal="left"/>
    </xf>
    <xf numFmtId="0" fontId="8" fillId="2" borderId="34" xfId="0" applyFont="1" applyFill="1" applyBorder="1"/>
    <xf numFmtId="0" fontId="8" fillId="2" borderId="46" xfId="0" applyFont="1" applyFill="1" applyBorder="1"/>
    <xf numFmtId="0" fontId="24" fillId="2" borderId="64" xfId="0" applyFont="1" applyFill="1" applyBorder="1" applyAlignment="1">
      <alignment wrapText="1"/>
    </xf>
    <xf numFmtId="0" fontId="8" fillId="2" borderId="64" xfId="0" applyFont="1" applyFill="1" applyBorder="1"/>
    <xf numFmtId="0" fontId="24" fillId="2" borderId="64" xfId="0" applyFont="1" applyFill="1" applyBorder="1"/>
    <xf numFmtId="3" fontId="24" fillId="2" borderId="64" xfId="0" applyNumberFormat="1" applyFont="1" applyFill="1" applyBorder="1"/>
    <xf numFmtId="4" fontId="24" fillId="2" borderId="65" xfId="0" applyNumberFormat="1" applyFont="1" applyFill="1" applyBorder="1"/>
    <xf numFmtId="0" fontId="24" fillId="0" borderId="0" xfId="0" applyFont="1"/>
    <xf numFmtId="0" fontId="6" fillId="2" borderId="58" xfId="0" applyFont="1" applyFill="1" applyBorder="1" applyAlignment="1">
      <alignment vertical="center"/>
    </xf>
    <xf numFmtId="0" fontId="8" fillId="2" borderId="59" xfId="0" applyFont="1" applyFill="1" applyBorder="1"/>
    <xf numFmtId="0" fontId="24" fillId="2" borderId="59" xfId="0" applyFont="1" applyFill="1" applyBorder="1"/>
    <xf numFmtId="0" fontId="8" fillId="0" borderId="0" xfId="0" applyFont="1"/>
    <xf numFmtId="0" fontId="6" fillId="2" borderId="59" xfId="0" applyFont="1" applyFill="1" applyBorder="1"/>
    <xf numFmtId="0" fontId="8" fillId="2" borderId="20" xfId="0" applyFont="1" applyFill="1" applyBorder="1"/>
    <xf numFmtId="0" fontId="8" fillId="2" borderId="67" xfId="0" applyFont="1" applyFill="1" applyBorder="1"/>
    <xf numFmtId="0" fontId="8" fillId="2" borderId="68" xfId="0" applyFont="1" applyFill="1" applyBorder="1" applyAlignment="1">
      <alignment wrapText="1"/>
    </xf>
    <xf numFmtId="0" fontId="8" fillId="2" borderId="68" xfId="0" applyFont="1" applyFill="1" applyBorder="1"/>
    <xf numFmtId="3" fontId="8" fillId="2" borderId="68" xfId="0" applyNumberFormat="1" applyFont="1" applyFill="1" applyBorder="1"/>
    <xf numFmtId="0" fontId="6" fillId="2" borderId="63" xfId="0" applyFont="1" applyFill="1" applyBorder="1" applyAlignment="1">
      <alignment vertical="center"/>
    </xf>
    <xf numFmtId="0" fontId="8" fillId="2" borderId="64" xfId="0" applyFont="1" applyFill="1" applyBorder="1" applyAlignment="1">
      <alignment horizontal="right"/>
    </xf>
    <xf numFmtId="0" fontId="6" fillId="2" borderId="64" xfId="0" applyFont="1" applyFill="1" applyBorder="1"/>
    <xf numFmtId="0" fontId="6" fillId="2" borderId="16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right"/>
    </xf>
    <xf numFmtId="0" fontId="6" fillId="2" borderId="18" xfId="0" applyFont="1" applyFill="1" applyBorder="1"/>
    <xf numFmtId="3" fontId="24" fillId="2" borderId="18" xfId="0" applyNumberFormat="1" applyFont="1" applyFill="1" applyBorder="1"/>
    <xf numFmtId="4" fontId="24" fillId="2" borderId="19" xfId="0" applyNumberFormat="1" applyFont="1" applyFill="1" applyBorder="1"/>
    <xf numFmtId="0" fontId="24" fillId="2" borderId="59" xfId="0" applyFont="1" applyFill="1" applyBorder="1" applyAlignment="1">
      <alignment horizontal="left" wrapText="1"/>
    </xf>
    <xf numFmtId="0" fontId="8" fillId="2" borderId="59" xfId="0" applyFont="1" applyFill="1" applyBorder="1" applyAlignment="1">
      <alignment horizontal="right"/>
    </xf>
    <xf numFmtId="0" fontId="6" fillId="0" borderId="63" xfId="0" applyFont="1" applyBorder="1"/>
    <xf numFmtId="0" fontId="8" fillId="0" borderId="18" xfId="0" applyFont="1" applyBorder="1"/>
    <xf numFmtId="0" fontId="24" fillId="0" borderId="18" xfId="0" applyFont="1" applyBorder="1"/>
    <xf numFmtId="3" fontId="24" fillId="0" borderId="18" xfId="0" applyNumberFormat="1" applyFont="1" applyBorder="1"/>
    <xf numFmtId="4" fontId="24" fillId="0" borderId="60" xfId="0" applyNumberFormat="1" applyFont="1" applyBorder="1"/>
    <xf numFmtId="0" fontId="6" fillId="0" borderId="16" xfId="0" applyFont="1" applyBorder="1" applyAlignment="1">
      <alignment vertical="center"/>
    </xf>
    <xf numFmtId="4" fontId="24" fillId="0" borderId="19" xfId="0" applyNumberFormat="1" applyFont="1" applyBorder="1"/>
    <xf numFmtId="0" fontId="6" fillId="0" borderId="67" xfId="0" applyFont="1" applyBorder="1" applyAlignment="1">
      <alignment vertical="center"/>
    </xf>
    <xf numFmtId="0" fontId="8" fillId="0" borderId="34" xfId="0" applyFont="1" applyBorder="1"/>
    <xf numFmtId="0" fontId="24" fillId="0" borderId="34" xfId="0" applyFont="1" applyBorder="1"/>
    <xf numFmtId="3" fontId="24" fillId="0" borderId="34" xfId="0" applyNumberFormat="1" applyFont="1" applyBorder="1"/>
    <xf numFmtId="3" fontId="7" fillId="5" borderId="64" xfId="4" applyNumberFormat="1" applyFont="1" applyFill="1" applyBorder="1"/>
    <xf numFmtId="3" fontId="24" fillId="5" borderId="64" xfId="4" applyNumberFormat="1" applyFont="1" applyFill="1" applyBorder="1" applyAlignment="1">
      <alignment horizontal="left"/>
    </xf>
    <xf numFmtId="4" fontId="24" fillId="5" borderId="65" xfId="0" applyNumberFormat="1" applyFont="1" applyFill="1" applyBorder="1" applyAlignment="1">
      <alignment horizontal="left"/>
    </xf>
    <xf numFmtId="0" fontId="6" fillId="2" borderId="46" xfId="0" applyFont="1" applyFill="1" applyBorder="1" applyAlignment="1">
      <alignment vertical="center"/>
    </xf>
    <xf numFmtId="0" fontId="31" fillId="2" borderId="34" xfId="0" applyFont="1" applyFill="1" applyBorder="1"/>
    <xf numFmtId="3" fontId="24" fillId="2" borderId="34" xfId="0" applyNumberFormat="1" applyFont="1" applyFill="1" applyBorder="1"/>
    <xf numFmtId="4" fontId="24" fillId="2" borderId="21" xfId="0" applyNumberFormat="1" applyFont="1" applyFill="1" applyBorder="1"/>
    <xf numFmtId="4" fontId="8" fillId="2" borderId="70" xfId="0" applyNumberFormat="1" applyFont="1" applyFill="1" applyBorder="1"/>
    <xf numFmtId="0" fontId="24" fillId="2" borderId="34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horizontal="left"/>
    </xf>
    <xf numFmtId="0" fontId="6" fillId="2" borderId="34" xfId="0" applyFont="1" applyFill="1" applyBorder="1"/>
    <xf numFmtId="0" fontId="6" fillId="2" borderId="61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right"/>
    </xf>
    <xf numFmtId="0" fontId="6" fillId="2" borderId="20" xfId="0" applyFont="1" applyFill="1" applyBorder="1"/>
    <xf numFmtId="3" fontId="24" fillId="2" borderId="20" xfId="0" applyNumberFormat="1" applyFont="1" applyFill="1" applyBorder="1"/>
    <xf numFmtId="4" fontId="24" fillId="2" borderId="62" xfId="0" applyNumberFormat="1" applyFont="1" applyFill="1" applyBorder="1"/>
    <xf numFmtId="0" fontId="6" fillId="2" borderId="16" xfId="0" applyFont="1" applyFill="1" applyBorder="1"/>
    <xf numFmtId="0" fontId="8" fillId="2" borderId="34" xfId="0" applyFont="1" applyFill="1" applyBorder="1" applyAlignment="1">
      <alignment horizontal="right"/>
    </xf>
    <xf numFmtId="3" fontId="7" fillId="3" borderId="74" xfId="0" applyNumberFormat="1" applyFont="1" applyFill="1" applyBorder="1"/>
    <xf numFmtId="4" fontId="24" fillId="3" borderId="75" xfId="0" applyNumberFormat="1" applyFont="1" applyFill="1" applyBorder="1"/>
    <xf numFmtId="2" fontId="24" fillId="2" borderId="19" xfId="0" applyNumberFormat="1" applyFont="1" applyFill="1" applyBorder="1"/>
    <xf numFmtId="3" fontId="7" fillId="3" borderId="56" xfId="0" applyNumberFormat="1" applyFont="1" applyFill="1" applyBorder="1"/>
    <xf numFmtId="4" fontId="7" fillId="3" borderId="57" xfId="0" applyNumberFormat="1" applyFont="1" applyFill="1" applyBorder="1"/>
    <xf numFmtId="0" fontId="8" fillId="2" borderId="46" xfId="0" applyFont="1" applyFill="1" applyBorder="1" applyAlignment="1">
      <alignment horizontal="left" vertical="center"/>
    </xf>
    <xf numFmtId="0" fontId="6" fillId="2" borderId="58" xfId="0" applyFont="1" applyFill="1" applyBorder="1" applyAlignment="1">
      <alignment vertical="top"/>
    </xf>
    <xf numFmtId="0" fontId="7" fillId="0" borderId="0" xfId="0" applyFont="1"/>
    <xf numFmtId="0" fontId="7" fillId="3" borderId="74" xfId="4" applyFont="1" applyFill="1" applyBorder="1"/>
    <xf numFmtId="3" fontId="7" fillId="3" borderId="74" xfId="4" applyNumberFormat="1" applyFont="1" applyFill="1" applyBorder="1"/>
    <xf numFmtId="4" fontId="24" fillId="3" borderId="78" xfId="0" applyNumberFormat="1" applyFont="1" applyFill="1" applyBorder="1"/>
    <xf numFmtId="0" fontId="6" fillId="2" borderId="79" xfId="0" applyFont="1" applyFill="1" applyBorder="1"/>
    <xf numFmtId="0" fontId="24" fillId="2" borderId="18" xfId="0" applyFont="1" applyFill="1" applyBorder="1" applyAlignment="1">
      <alignment wrapText="1"/>
    </xf>
    <xf numFmtId="0" fontId="8" fillId="2" borderId="18" xfId="0" applyFont="1" applyFill="1" applyBorder="1"/>
    <xf numFmtId="0" fontId="24" fillId="2" borderId="18" xfId="0" applyFont="1" applyFill="1" applyBorder="1"/>
    <xf numFmtId="4" fontId="24" fillId="2" borderId="80" xfId="0" applyNumberFormat="1" applyFont="1" applyFill="1" applyBorder="1"/>
    <xf numFmtId="0" fontId="24" fillId="2" borderId="0" xfId="0" applyFont="1" applyFill="1"/>
    <xf numFmtId="0" fontId="7" fillId="3" borderId="82" xfId="0" applyFont="1" applyFill="1" applyBorder="1" applyAlignment="1">
      <alignment horizontal="left"/>
    </xf>
    <xf numFmtId="0" fontId="7" fillId="3" borderId="56" xfId="0" applyFont="1" applyFill="1" applyBorder="1" applyAlignment="1">
      <alignment horizontal="left"/>
    </xf>
    <xf numFmtId="4" fontId="7" fillId="3" borderId="83" xfId="0" applyNumberFormat="1" applyFont="1" applyFill="1" applyBorder="1"/>
    <xf numFmtId="3" fontId="6" fillId="0" borderId="0" xfId="0" applyNumberFormat="1" applyFont="1"/>
    <xf numFmtId="49" fontId="21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center"/>
    </xf>
    <xf numFmtId="0" fontId="23" fillId="0" borderId="0" xfId="4" applyFont="1"/>
    <xf numFmtId="49" fontId="18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4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4" fillId="3" borderId="84" xfId="4" applyFont="1" applyFill="1" applyBorder="1" applyAlignment="1">
      <alignment horizontal="center"/>
    </xf>
    <xf numFmtId="0" fontId="4" fillId="3" borderId="85" xfId="4" applyFont="1" applyFill="1" applyBorder="1" applyAlignment="1">
      <alignment horizontal="center"/>
    </xf>
    <xf numFmtId="0" fontId="7" fillId="3" borderId="86" xfId="4" applyFont="1" applyFill="1" applyBorder="1" applyAlignment="1">
      <alignment horizontal="center"/>
    </xf>
    <xf numFmtId="0" fontId="5" fillId="3" borderId="101" xfId="4" applyFont="1" applyFill="1" applyBorder="1" applyAlignment="1">
      <alignment horizontal="center"/>
    </xf>
    <xf numFmtId="3" fontId="5" fillId="3" borderId="103" xfId="4" applyNumberFormat="1" applyFont="1" applyFill="1" applyBorder="1" applyAlignment="1">
      <alignment horizontal="center"/>
    </xf>
    <xf numFmtId="3" fontId="5" fillId="3" borderId="104" xfId="4" applyNumberFormat="1" applyFont="1" applyFill="1" applyBorder="1" applyAlignment="1">
      <alignment horizontal="center"/>
    </xf>
    <xf numFmtId="3" fontId="5" fillId="3" borderId="105" xfId="4" applyNumberFormat="1" applyFont="1" applyFill="1" applyBorder="1" applyAlignment="1">
      <alignment horizontal="center"/>
    </xf>
    <xf numFmtId="3" fontId="5" fillId="3" borderId="106" xfId="4" applyNumberFormat="1" applyFont="1" applyFill="1" applyBorder="1" applyAlignment="1">
      <alignment horizontal="center"/>
    </xf>
    <xf numFmtId="3" fontId="5" fillId="3" borderId="107" xfId="4" applyNumberFormat="1" applyFont="1" applyFill="1" applyBorder="1" applyAlignment="1">
      <alignment horizontal="center"/>
    </xf>
    <xf numFmtId="3" fontId="5" fillId="3" borderId="108" xfId="4" applyNumberFormat="1" applyFont="1" applyFill="1" applyBorder="1" applyAlignment="1">
      <alignment horizontal="center"/>
    </xf>
    <xf numFmtId="49" fontId="7" fillId="3" borderId="109" xfId="4" applyNumberFormat="1" applyFont="1" applyFill="1" applyBorder="1" applyAlignment="1">
      <alignment vertical="center"/>
    </xf>
    <xf numFmtId="49" fontId="4" fillId="3" borderId="110" xfId="4" applyNumberFormat="1" applyFont="1" applyFill="1" applyBorder="1" applyAlignment="1">
      <alignment horizontal="center" vertical="center"/>
    </xf>
    <xf numFmtId="3" fontId="7" fillId="3" borderId="87" xfId="4" applyNumberFormat="1" applyFont="1" applyFill="1" applyBorder="1" applyAlignment="1">
      <alignment vertical="center"/>
    </xf>
    <xf numFmtId="3" fontId="7" fillId="3" borderId="64" xfId="4" applyNumberFormat="1" applyFont="1" applyFill="1" applyBorder="1" applyAlignment="1">
      <alignment vertical="center"/>
    </xf>
    <xf numFmtId="3" fontId="7" fillId="3" borderId="88" xfId="4" applyNumberFormat="1" applyFont="1" applyFill="1" applyBorder="1" applyAlignment="1">
      <alignment vertical="center"/>
    </xf>
    <xf numFmtId="3" fontId="7" fillId="3" borderId="86" xfId="4" applyNumberFormat="1" applyFont="1" applyFill="1" applyBorder="1" applyAlignment="1">
      <alignment vertical="center"/>
    </xf>
    <xf numFmtId="3" fontId="7" fillId="3" borderId="111" xfId="4" applyNumberFormat="1" applyFont="1" applyFill="1" applyBorder="1" applyAlignment="1">
      <alignment vertical="center"/>
    </xf>
    <xf numFmtId="10" fontId="7" fillId="3" borderId="88" xfId="4" applyNumberFormat="1" applyFont="1" applyFill="1" applyBorder="1" applyAlignment="1">
      <alignment vertical="center"/>
    </xf>
    <xf numFmtId="49" fontId="6" fillId="0" borderId="89" xfId="4" applyNumberFormat="1" applyFont="1" applyBorder="1"/>
    <xf numFmtId="49" fontId="4" fillId="0" borderId="90" xfId="4" applyNumberFormat="1" applyFont="1" applyBorder="1" applyAlignment="1">
      <alignment horizontal="center"/>
    </xf>
    <xf numFmtId="3" fontId="6" fillId="0" borderId="92" xfId="4" applyNumberFormat="1" applyFont="1" applyBorder="1"/>
    <xf numFmtId="3" fontId="6" fillId="0" borderId="34" xfId="4" applyNumberFormat="1" applyFont="1" applyBorder="1"/>
    <xf numFmtId="3" fontId="6" fillId="0" borderId="112" xfId="4" applyNumberFormat="1" applyFont="1" applyBorder="1"/>
    <xf numFmtId="3" fontId="6" fillId="0" borderId="94" xfId="4" applyNumberFormat="1" applyFont="1" applyBorder="1"/>
    <xf numFmtId="3" fontId="6" fillId="0" borderId="81" xfId="4" applyNumberFormat="1" applyFont="1" applyBorder="1"/>
    <xf numFmtId="10" fontId="6" fillId="0" borderId="112" xfId="4" applyNumberFormat="1" applyFont="1" applyBorder="1"/>
    <xf numFmtId="49" fontId="6" fillId="0" borderId="89" xfId="4" applyNumberFormat="1" applyFont="1" applyBorder="1" applyAlignment="1">
      <alignment wrapText="1"/>
    </xf>
    <xf numFmtId="49" fontId="4" fillId="0" borderId="90" xfId="4" applyNumberFormat="1" applyFont="1" applyBorder="1" applyAlignment="1">
      <alignment horizontal="center" wrapText="1"/>
    </xf>
    <xf numFmtId="0" fontId="6" fillId="0" borderId="0" xfId="4" applyFont="1"/>
    <xf numFmtId="49" fontId="7" fillId="0" borderId="89" xfId="4" applyNumberFormat="1" applyFont="1" applyBorder="1"/>
    <xf numFmtId="3" fontId="7" fillId="0" borderId="92" xfId="4" applyNumberFormat="1" applyFont="1" applyBorder="1"/>
    <xf numFmtId="3" fontId="7" fillId="0" borderId="112" xfId="4" applyNumberFormat="1" applyFont="1" applyBorder="1"/>
    <xf numFmtId="3" fontId="7" fillId="0" borderId="94" xfId="4" applyNumberFormat="1" applyFont="1" applyBorder="1"/>
    <xf numFmtId="3" fontId="7" fillId="0" borderId="81" xfId="4" applyNumberFormat="1" applyFont="1" applyBorder="1"/>
    <xf numFmtId="10" fontId="7" fillId="0" borderId="112" xfId="4" applyNumberFormat="1" applyFont="1" applyBorder="1"/>
    <xf numFmtId="49" fontId="4" fillId="0" borderId="90" xfId="4" applyNumberFormat="1" applyFont="1" applyBorder="1" applyAlignment="1">
      <alignment horizontal="center" vertical="center" wrapText="1"/>
    </xf>
    <xf numFmtId="3" fontId="6" fillId="0" borderId="92" xfId="4" applyNumberFormat="1" applyFont="1" applyBorder="1" applyAlignment="1">
      <alignment vertical="center"/>
    </xf>
    <xf numFmtId="3" fontId="6" fillId="0" borderId="34" xfId="4" applyNumberFormat="1" applyFont="1" applyBorder="1" applyAlignment="1">
      <alignment vertical="center"/>
    </xf>
    <xf numFmtId="3" fontId="6" fillId="0" borderId="112" xfId="4" applyNumberFormat="1" applyFont="1" applyBorder="1" applyAlignment="1">
      <alignment vertical="center"/>
    </xf>
    <xf numFmtId="3" fontId="6" fillId="0" borderId="94" xfId="4" applyNumberFormat="1" applyFont="1" applyBorder="1" applyAlignment="1">
      <alignment vertical="center"/>
    </xf>
    <xf numFmtId="3" fontId="6" fillId="0" borderId="81" xfId="4" applyNumberFormat="1" applyFont="1" applyBorder="1" applyAlignment="1">
      <alignment vertical="center"/>
    </xf>
    <xf numFmtId="10" fontId="6" fillId="0" borderId="112" xfId="4" applyNumberFormat="1" applyFont="1" applyBorder="1" applyAlignment="1">
      <alignment vertical="center"/>
    </xf>
    <xf numFmtId="49" fontId="4" fillId="0" borderId="90" xfId="4" applyNumberFormat="1" applyFont="1" applyBorder="1" applyAlignment="1">
      <alignment horizontal="center" shrinkToFit="1"/>
    </xf>
    <xf numFmtId="49" fontId="7" fillId="3" borderId="113" xfId="4" applyNumberFormat="1" applyFont="1" applyFill="1" applyBorder="1" applyAlignment="1">
      <alignment vertical="center"/>
    </xf>
    <xf numFmtId="49" fontId="4" fillId="3" borderId="114" xfId="4" applyNumberFormat="1" applyFont="1" applyFill="1" applyBorder="1" applyAlignment="1">
      <alignment horizontal="center" vertical="center"/>
    </xf>
    <xf numFmtId="3" fontId="7" fillId="3" borderId="82" xfId="4" applyNumberFormat="1" applyFont="1" applyFill="1" applyBorder="1" applyAlignment="1">
      <alignment vertical="center"/>
    </xf>
    <xf numFmtId="49" fontId="2" fillId="3" borderId="115" xfId="4" applyNumberFormat="1" applyFont="1" applyFill="1" applyBorder="1" applyAlignment="1">
      <alignment vertical="center"/>
    </xf>
    <xf numFmtId="3" fontId="2" fillId="3" borderId="117" xfId="4" applyNumberFormat="1" applyFont="1" applyFill="1" applyBorder="1" applyAlignment="1">
      <alignment vertical="center"/>
    </xf>
    <xf numFmtId="3" fontId="7" fillId="3" borderId="118" xfId="4" applyNumberFormat="1" applyFont="1" applyFill="1" applyBorder="1" applyAlignment="1">
      <alignment vertical="center"/>
    </xf>
    <xf numFmtId="10" fontId="7" fillId="3" borderId="119" xfId="4" applyNumberFormat="1" applyFont="1" applyFill="1" applyBorder="1" applyAlignment="1">
      <alignment vertical="center"/>
    </xf>
    <xf numFmtId="0" fontId="18" fillId="0" borderId="0" xfId="4" applyFont="1"/>
    <xf numFmtId="0" fontId="32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3" fontId="7" fillId="3" borderId="71" xfId="4" applyNumberFormat="1" applyFont="1" applyFill="1" applyBorder="1" applyAlignment="1">
      <alignment vertical="center"/>
    </xf>
    <xf numFmtId="3" fontId="7" fillId="3" borderId="48" xfId="4" applyNumberFormat="1" applyFont="1" applyFill="1" applyBorder="1" applyAlignment="1">
      <alignment vertical="center"/>
    </xf>
    <xf numFmtId="3" fontId="7" fillId="3" borderId="124" xfId="4" applyNumberFormat="1" applyFont="1" applyFill="1" applyBorder="1" applyAlignment="1">
      <alignment vertical="center"/>
    </xf>
    <xf numFmtId="3" fontId="7" fillId="3" borderId="53" xfId="4" applyNumberFormat="1" applyFont="1" applyFill="1" applyBorder="1" applyAlignment="1">
      <alignment vertical="center"/>
    </xf>
    <xf numFmtId="10" fontId="7" fillId="3" borderId="70" xfId="4" applyNumberFormat="1" applyFont="1" applyFill="1" applyBorder="1" applyAlignment="1">
      <alignment vertical="center"/>
    </xf>
    <xf numFmtId="3" fontId="6" fillId="0" borderId="26" xfId="4" applyNumberFormat="1" applyFont="1" applyBorder="1"/>
    <xf numFmtId="49" fontId="4" fillId="0" borderId="123" xfId="4" applyNumberFormat="1" applyFont="1" applyBorder="1" applyAlignment="1">
      <alignment horizontal="center" wrapText="1"/>
    </xf>
    <xf numFmtId="3" fontId="7" fillId="3" borderId="69" xfId="4" applyNumberFormat="1" applyFont="1" applyFill="1" applyBorder="1" applyAlignment="1">
      <alignment vertical="center"/>
    </xf>
    <xf numFmtId="3" fontId="6" fillId="0" borderId="103" xfId="4" applyNumberFormat="1" applyFont="1" applyBorder="1"/>
    <xf numFmtId="3" fontId="7" fillId="3" borderId="125" xfId="4" applyNumberFormat="1" applyFont="1" applyFill="1" applyBorder="1" applyAlignment="1">
      <alignment vertical="center"/>
    </xf>
    <xf numFmtId="3" fontId="7" fillId="3" borderId="55" xfId="4" applyNumberFormat="1" applyFont="1" applyFill="1" applyBorder="1" applyAlignment="1">
      <alignment vertical="center"/>
    </xf>
    <xf numFmtId="3" fontId="7" fillId="3" borderId="56" xfId="4" applyNumberFormat="1" applyFont="1" applyFill="1" applyBorder="1" applyAlignment="1">
      <alignment vertical="center"/>
    </xf>
    <xf numFmtId="3" fontId="7" fillId="3" borderId="126" xfId="4" applyNumberFormat="1" applyFont="1" applyFill="1" applyBorder="1" applyAlignment="1">
      <alignment vertical="center"/>
    </xf>
    <xf numFmtId="10" fontId="7" fillId="3" borderId="127" xfId="4" applyNumberFormat="1" applyFont="1" applyFill="1" applyBorder="1" applyAlignment="1">
      <alignment vertical="center"/>
    </xf>
    <xf numFmtId="49" fontId="4" fillId="0" borderId="123" xfId="4" applyNumberFormat="1" applyFont="1" applyBorder="1" applyAlignment="1">
      <alignment horizontal="center" vertical="center" wrapText="1"/>
    </xf>
    <xf numFmtId="3" fontId="6" fillId="0" borderId="26" xfId="4" applyNumberFormat="1" applyFont="1" applyBorder="1" applyAlignment="1">
      <alignment vertical="center"/>
    </xf>
    <xf numFmtId="49" fontId="4" fillId="0" borderId="123" xfId="4" applyNumberFormat="1" applyFont="1" applyBorder="1" applyAlignment="1">
      <alignment horizontal="center" shrinkToFit="1"/>
    </xf>
    <xf numFmtId="49" fontId="4" fillId="3" borderId="120" xfId="4" applyNumberFormat="1" applyFont="1" applyFill="1" applyBorder="1" applyAlignment="1">
      <alignment horizontal="center" vertical="center"/>
    </xf>
    <xf numFmtId="3" fontId="2" fillId="3" borderId="128" xfId="4" applyNumberFormat="1" applyFont="1" applyFill="1" applyBorder="1" applyAlignment="1">
      <alignment vertical="center"/>
    </xf>
    <xf numFmtId="3" fontId="2" fillId="3" borderId="122" xfId="4" applyNumberFormat="1" applyFont="1" applyFill="1" applyBorder="1" applyAlignment="1">
      <alignment vertical="center"/>
    </xf>
    <xf numFmtId="10" fontId="2" fillId="3" borderId="119" xfId="4" applyNumberFormat="1" applyFont="1" applyFill="1" applyBorder="1" applyAlignment="1">
      <alignment vertical="center"/>
    </xf>
    <xf numFmtId="0" fontId="2" fillId="0" borderId="0" xfId="4" applyFont="1"/>
    <xf numFmtId="3" fontId="7" fillId="3" borderId="7" xfId="4" applyNumberFormat="1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/>
    </xf>
    <xf numFmtId="4" fontId="7" fillId="3" borderId="47" xfId="4" applyNumberFormat="1" applyFont="1" applyFill="1" applyBorder="1" applyAlignment="1">
      <alignment horizontal="right" vertical="center"/>
    </xf>
    <xf numFmtId="3" fontId="7" fillId="3" borderId="6" xfId="4" applyNumberFormat="1" applyFont="1" applyFill="1" applyBorder="1" applyAlignment="1">
      <alignment horizontal="right" vertical="center" wrapText="1"/>
    </xf>
    <xf numFmtId="3" fontId="7" fillId="3" borderId="7" xfId="4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/>
    </xf>
    <xf numFmtId="0" fontId="7" fillId="3" borderId="52" xfId="4" applyFont="1" applyFill="1" applyBorder="1" applyAlignment="1">
      <alignment horizontal="left" vertical="center"/>
    </xf>
    <xf numFmtId="3" fontId="6" fillId="0" borderId="50" xfId="4" applyNumberFormat="1" applyFont="1" applyBorder="1" applyAlignment="1">
      <alignment horizontal="left" vertical="center" wrapText="1"/>
    </xf>
    <xf numFmtId="0" fontId="6" fillId="0" borderId="44" xfId="4" applyFont="1" applyBorder="1" applyAlignment="1">
      <alignment horizontal="center" vertical="center"/>
    </xf>
    <xf numFmtId="0" fontId="6" fillId="0" borderId="129" xfId="4" applyFont="1" applyBorder="1" applyAlignment="1">
      <alignment horizontal="center" vertical="center"/>
    </xf>
    <xf numFmtId="0" fontId="7" fillId="3" borderId="7" xfId="4" applyFont="1" applyFill="1" applyBorder="1" applyAlignment="1">
      <alignment horizontal="right" vertical="center"/>
    </xf>
    <xf numFmtId="3" fontId="7" fillId="3" borderId="7" xfId="4" applyNumberFormat="1" applyFont="1" applyFill="1" applyBorder="1" applyAlignment="1">
      <alignment horizontal="right" vertical="center" wrapText="1"/>
    </xf>
    <xf numFmtId="0" fontId="4" fillId="2" borderId="0" xfId="4" applyFont="1" applyFill="1"/>
    <xf numFmtId="0" fontId="23" fillId="0" borderId="0" xfId="0" applyFont="1"/>
    <xf numFmtId="0" fontId="32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8" fillId="2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3" fontId="6" fillId="2" borderId="6" xfId="0" applyNumberFormat="1" applyFont="1" applyFill="1" applyBorder="1"/>
    <xf numFmtId="0" fontId="3" fillId="0" borderId="0" xfId="0" applyFont="1"/>
    <xf numFmtId="3" fontId="7" fillId="3" borderId="3" xfId="0" applyNumberFormat="1" applyFont="1" applyFill="1" applyBorder="1"/>
    <xf numFmtId="4" fontId="7" fillId="3" borderId="4" xfId="0" applyNumberFormat="1" applyFont="1" applyFill="1" applyBorder="1"/>
    <xf numFmtId="0" fontId="11" fillId="2" borderId="0" xfId="0" applyFont="1" applyFill="1" applyAlignment="1">
      <alignment horizontal="left"/>
    </xf>
    <xf numFmtId="172" fontId="6" fillId="2" borderId="0" xfId="0" applyNumberFormat="1" applyFont="1" applyFill="1"/>
    <xf numFmtId="0" fontId="23" fillId="2" borderId="0" xfId="0" applyFont="1" applyFill="1"/>
    <xf numFmtId="0" fontId="6" fillId="0" borderId="0" xfId="0" applyFont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4" xfId="0" applyFont="1" applyFill="1" applyBorder="1" applyAlignment="1">
      <alignment wrapText="1"/>
    </xf>
    <xf numFmtId="3" fontId="6" fillId="2" borderId="34" xfId="0" applyNumberFormat="1" applyFont="1" applyFill="1" applyBorder="1"/>
    <xf numFmtId="4" fontId="6" fillId="2" borderId="21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Border="1"/>
    <xf numFmtId="164" fontId="14" fillId="0" borderId="0" xfId="0" applyNumberFormat="1" applyFont="1" applyFill="1"/>
    <xf numFmtId="164" fontId="12" fillId="2" borderId="10" xfId="0" applyNumberFormat="1" applyFont="1" applyFill="1" applyBorder="1" applyAlignment="1">
      <alignment horizontal="left"/>
    </xf>
    <xf numFmtId="164" fontId="12" fillId="2" borderId="14" xfId="0" applyNumberFormat="1" applyFont="1" applyFill="1" applyBorder="1" applyAlignment="1">
      <alignment horizontal="right"/>
    </xf>
    <xf numFmtId="164" fontId="12" fillId="2" borderId="14" xfId="0" applyNumberFormat="1" applyFont="1" applyFill="1" applyBorder="1" applyAlignment="1">
      <alignment horizontal="left"/>
    </xf>
    <xf numFmtId="164" fontId="12" fillId="0" borderId="34" xfId="0" applyNumberFormat="1" applyFont="1" applyFill="1" applyBorder="1" applyAlignment="1">
      <alignment horizontal="left"/>
    </xf>
    <xf numFmtId="164" fontId="12" fillId="2" borderId="10" xfId="0" applyNumberFormat="1" applyFont="1" applyFill="1" applyBorder="1" applyAlignment="1">
      <alignment horizontal="right"/>
    </xf>
    <xf numFmtId="164" fontId="15" fillId="3" borderId="41" xfId="0" applyNumberFormat="1" applyFont="1" applyFill="1" applyBorder="1"/>
    <xf numFmtId="164" fontId="16" fillId="3" borderId="41" xfId="0" applyNumberFormat="1" applyFont="1" applyFill="1" applyBorder="1"/>
    <xf numFmtId="164" fontId="16" fillId="0" borderId="0" xfId="0" applyNumberFormat="1" applyFont="1" applyFill="1" applyBorder="1"/>
    <xf numFmtId="164" fontId="14" fillId="0" borderId="0" xfId="0" applyNumberFormat="1" applyFont="1" applyFill="1" applyBorder="1"/>
    <xf numFmtId="0" fontId="11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center"/>
    </xf>
    <xf numFmtId="3" fontId="37" fillId="0" borderId="0" xfId="0" applyNumberFormat="1" applyFont="1" applyFill="1" applyAlignment="1">
      <alignment horizontal="center"/>
    </xf>
    <xf numFmtId="0" fontId="26" fillId="0" borderId="0" xfId="0" applyFont="1" applyFill="1"/>
    <xf numFmtId="3" fontId="16" fillId="3" borderId="0" xfId="0" applyNumberFormat="1" applyFont="1" applyFill="1"/>
    <xf numFmtId="0" fontId="16" fillId="3" borderId="0" xfId="0" applyFont="1" applyFill="1"/>
    <xf numFmtId="164" fontId="6" fillId="2" borderId="25" xfId="0" applyNumberFormat="1" applyFont="1" applyFill="1" applyBorder="1"/>
    <xf numFmtId="3" fontId="38" fillId="2" borderId="0" xfId="0" applyNumberFormat="1" applyFont="1" applyFill="1"/>
    <xf numFmtId="164" fontId="13" fillId="0" borderId="0" xfId="0" applyNumberFormat="1" applyFont="1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0" fontId="4" fillId="3" borderId="28" xfId="0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/>
    <xf numFmtId="164" fontId="12" fillId="2" borderId="14" xfId="0" applyNumberFormat="1" applyFont="1" applyFill="1" applyBorder="1" applyAlignment="1">
      <alignment horizontal="left" vertical="center"/>
    </xf>
    <xf numFmtId="164" fontId="12" fillId="2" borderId="35" xfId="0" applyNumberFormat="1" applyFont="1" applyFill="1" applyBorder="1" applyAlignment="1">
      <alignment horizontal="left" vertical="center"/>
    </xf>
    <xf numFmtId="164" fontId="2" fillId="2" borderId="18" xfId="0" applyNumberFormat="1" applyFont="1" applyFill="1" applyBorder="1"/>
    <xf numFmtId="164" fontId="6" fillId="2" borderId="20" xfId="0" applyNumberFormat="1" applyFont="1" applyFill="1" applyBorder="1"/>
    <xf numFmtId="164" fontId="6" fillId="0" borderId="34" xfId="0" applyNumberFormat="1" applyFont="1" applyFill="1" applyBorder="1" applyAlignment="1">
      <alignment horizontal="right"/>
    </xf>
    <xf numFmtId="164" fontId="2" fillId="3" borderId="27" xfId="0" applyNumberFormat="1" applyFont="1" applyFill="1" applyBorder="1"/>
    <xf numFmtId="3" fontId="17" fillId="0" borderId="0" xfId="0" applyNumberFormat="1" applyFont="1" applyFill="1"/>
    <xf numFmtId="0" fontId="17" fillId="0" borderId="0" xfId="0" applyFont="1" applyFill="1"/>
    <xf numFmtId="166" fontId="7" fillId="2" borderId="59" xfId="4" applyNumberFormat="1" applyFont="1" applyFill="1" applyBorder="1"/>
    <xf numFmtId="3" fontId="7" fillId="2" borderId="59" xfId="4" applyNumberFormat="1" applyFont="1" applyFill="1" applyBorder="1"/>
    <xf numFmtId="0" fontId="7" fillId="2" borderId="59" xfId="4" applyFont="1" applyFill="1" applyBorder="1"/>
    <xf numFmtId="0" fontId="6" fillId="2" borderId="7" xfId="0" applyFont="1" applyFill="1" applyBorder="1"/>
    <xf numFmtId="3" fontId="6" fillId="2" borderId="7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7" fillId="3" borderId="76" xfId="4" applyFont="1" applyFill="1" applyBorder="1" applyAlignment="1">
      <alignment horizontal="left"/>
    </xf>
    <xf numFmtId="0" fontId="24" fillId="2" borderId="34" xfId="0" applyFont="1" applyFill="1" applyBorder="1" applyAlignment="1">
      <alignment horizontal="left"/>
    </xf>
    <xf numFmtId="0" fontId="24" fillId="2" borderId="64" xfId="0" applyFont="1" applyFill="1" applyBorder="1" applyAlignment="1">
      <alignment horizontal="left" wrapText="1"/>
    </xf>
    <xf numFmtId="0" fontId="24" fillId="2" borderId="20" xfId="0" applyFont="1" applyFill="1" applyBorder="1" applyAlignment="1">
      <alignment horizontal="left" wrapText="1"/>
    </xf>
    <xf numFmtId="0" fontId="24" fillId="2" borderId="18" xfId="0" applyFont="1" applyFill="1" applyBorder="1" applyAlignment="1">
      <alignment horizontal="left" wrapText="1"/>
    </xf>
    <xf numFmtId="0" fontId="24" fillId="0" borderId="18" xfId="0" applyFont="1" applyBorder="1" applyAlignment="1">
      <alignment wrapText="1"/>
    </xf>
    <xf numFmtId="0" fontId="24" fillId="0" borderId="34" xfId="0" applyFont="1" applyBorder="1" applyAlignment="1">
      <alignment wrapText="1"/>
    </xf>
    <xf numFmtId="0" fontId="7" fillId="5" borderId="63" xfId="4" applyFont="1" applyFill="1" applyBorder="1" applyAlignment="1">
      <alignment horizontal="left"/>
    </xf>
    <xf numFmtId="0" fontId="24" fillId="2" borderId="34" xfId="0" applyFont="1" applyFill="1" applyBorder="1" applyAlignment="1">
      <alignment wrapText="1"/>
    </xf>
    <xf numFmtId="0" fontId="24" fillId="2" borderId="20" xfId="0" applyFont="1" applyFill="1" applyBorder="1" applyAlignment="1">
      <alignment wrapText="1"/>
    </xf>
    <xf numFmtId="0" fontId="8" fillId="2" borderId="20" xfId="0" applyFont="1" applyFill="1" applyBorder="1" applyAlignment="1">
      <alignment horizontal="left" wrapText="1"/>
    </xf>
    <xf numFmtId="0" fontId="6" fillId="0" borderId="34" xfId="0" applyFont="1" applyBorder="1"/>
    <xf numFmtId="3" fontId="6" fillId="0" borderId="34" xfId="0" applyNumberFormat="1" applyFont="1" applyBorder="1"/>
    <xf numFmtId="0" fontId="24" fillId="2" borderId="18" xfId="0" applyFont="1" applyFill="1" applyBorder="1" applyAlignment="1">
      <alignment horizontal="left"/>
    </xf>
    <xf numFmtId="0" fontId="7" fillId="3" borderId="138" xfId="0" applyFont="1" applyFill="1" applyBorder="1" applyAlignment="1">
      <alignment horizontal="left"/>
    </xf>
    <xf numFmtId="3" fontId="7" fillId="3" borderId="139" xfId="0" applyNumberFormat="1" applyFont="1" applyFill="1" applyBorder="1"/>
    <xf numFmtId="4" fontId="7" fillId="3" borderId="140" xfId="0" applyNumberFormat="1" applyFont="1" applyFill="1" applyBorder="1"/>
    <xf numFmtId="0" fontId="6" fillId="2" borderId="26" xfId="0" applyFont="1" applyFill="1" applyBorder="1"/>
    <xf numFmtId="4" fontId="6" fillId="2" borderId="141" xfId="0" applyNumberFormat="1" applyFont="1" applyFill="1" applyBorder="1"/>
    <xf numFmtId="0" fontId="7" fillId="3" borderId="142" xfId="4" applyFont="1" applyFill="1" applyBorder="1" applyAlignment="1">
      <alignment horizontal="left"/>
    </xf>
    <xf numFmtId="0" fontId="7" fillId="3" borderId="74" xfId="4" applyFont="1" applyFill="1" applyBorder="1" applyAlignment="1">
      <alignment horizontal="left"/>
    </xf>
    <xf numFmtId="0" fontId="6" fillId="0" borderId="26" xfId="0" applyFont="1" applyBorder="1"/>
    <xf numFmtId="4" fontId="6" fillId="0" borderId="141" xfId="0" applyNumberFormat="1" applyFont="1" applyBorder="1"/>
    <xf numFmtId="3" fontId="6" fillId="0" borderId="18" xfId="0" applyNumberFormat="1" applyFont="1" applyBorder="1"/>
    <xf numFmtId="4" fontId="6" fillId="0" borderId="18" xfId="0" applyNumberFormat="1" applyFont="1" applyBorder="1"/>
    <xf numFmtId="3" fontId="6" fillId="0" borderId="59" xfId="0" applyNumberFormat="1" applyFont="1" applyBorder="1"/>
    <xf numFmtId="4" fontId="6" fillId="0" borderId="59" xfId="0" applyNumberFormat="1" applyFont="1" applyBorder="1"/>
    <xf numFmtId="0" fontId="26" fillId="0" borderId="0" xfId="4" applyFont="1"/>
    <xf numFmtId="0" fontId="26" fillId="0" borderId="0" xfId="4" applyFont="1" applyAlignment="1">
      <alignment horizontal="center"/>
    </xf>
    <xf numFmtId="49" fontId="21" fillId="0" borderId="0" xfId="4" applyNumberFormat="1" applyFont="1" applyAlignment="1">
      <alignment horizontal="center"/>
    </xf>
    <xf numFmtId="49" fontId="2" fillId="0" borderId="0" xfId="4" applyNumberFormat="1" applyFont="1" applyAlignment="1">
      <alignment horizontal="center"/>
    </xf>
    <xf numFmtId="0" fontId="4" fillId="3" borderId="77" xfId="4" applyFont="1" applyFill="1" applyBorder="1" applyAlignment="1">
      <alignment horizontal="center"/>
    </xf>
    <xf numFmtId="0" fontId="5" fillId="3" borderId="106" xfId="4" applyFont="1" applyFill="1" applyBorder="1" applyAlignment="1">
      <alignment horizontal="center"/>
    </xf>
    <xf numFmtId="3" fontId="5" fillId="3" borderId="54" xfId="4" applyNumberFormat="1" applyFont="1" applyFill="1" applyBorder="1" applyAlignment="1">
      <alignment horizontal="center"/>
    </xf>
    <xf numFmtId="49" fontId="7" fillId="3" borderId="69" xfId="4" applyNumberFormat="1" applyFont="1" applyFill="1" applyBorder="1" applyAlignment="1">
      <alignment horizontal="center" vertical="center"/>
    </xf>
    <xf numFmtId="3" fontId="7" fillId="0" borderId="26" xfId="4" applyNumberFormat="1" applyFont="1" applyBorder="1"/>
    <xf numFmtId="49" fontId="7" fillId="3" borderId="126" xfId="4" applyNumberFormat="1" applyFont="1" applyFill="1" applyBorder="1" applyAlignment="1">
      <alignment horizontal="center" vertical="center"/>
    </xf>
    <xf numFmtId="49" fontId="2" fillId="3" borderId="121" xfId="4" applyNumberFormat="1" applyFont="1" applyFill="1" applyBorder="1" applyAlignment="1">
      <alignment horizontal="center" vertical="center"/>
    </xf>
    <xf numFmtId="3" fontId="2" fillId="3" borderId="118" xfId="4" applyNumberFormat="1" applyFont="1" applyFill="1" applyBorder="1" applyAlignment="1">
      <alignment vertical="center"/>
    </xf>
    <xf numFmtId="4" fontId="26" fillId="0" borderId="0" xfId="4" applyNumberFormat="1" applyFont="1"/>
    <xf numFmtId="0" fontId="32" fillId="0" borderId="0" xfId="4" applyFont="1" applyAlignment="1">
      <alignment horizontal="center"/>
    </xf>
    <xf numFmtId="49" fontId="25" fillId="0" borderId="112" xfId="4" applyNumberFormat="1" applyFont="1" applyBorder="1" applyAlignment="1">
      <alignment horizontal="center" wrapText="1"/>
    </xf>
    <xf numFmtId="0" fontId="6" fillId="0" borderId="112" xfId="4" applyFont="1" applyBorder="1" applyAlignment="1">
      <alignment horizontal="center" wrapText="1"/>
    </xf>
    <xf numFmtId="0" fontId="3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 wrapText="1"/>
    </xf>
    <xf numFmtId="4" fontId="6" fillId="0" borderId="21" xfId="0" applyNumberFormat="1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11" fillId="0" borderId="0" xfId="0" applyFont="1"/>
    <xf numFmtId="0" fontId="6" fillId="2" borderId="46" xfId="0" applyFont="1" applyFill="1" applyBorder="1" applyAlignment="1">
      <alignment horizontal="center" vertical="center"/>
    </xf>
    <xf numFmtId="3" fontId="6" fillId="0" borderId="34" xfId="0" applyNumberFormat="1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left" vertical="center" wrapText="1"/>
    </xf>
    <xf numFmtId="4" fontId="6" fillId="0" borderId="47" xfId="0" applyNumberFormat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0" borderId="0" xfId="4"/>
    <xf numFmtId="0" fontId="39" fillId="0" borderId="0" xfId="4" applyFont="1" applyAlignment="1">
      <alignment horizontal="right"/>
    </xf>
    <xf numFmtId="3" fontId="8" fillId="0" borderId="0" xfId="4" applyNumberFormat="1"/>
    <xf numFmtId="3" fontId="6" fillId="0" borderId="34" xfId="0" applyNumberFormat="1" applyFont="1" applyFill="1" applyBorder="1" applyAlignment="1">
      <alignment vertical="center"/>
    </xf>
    <xf numFmtId="3" fontId="6" fillId="2" borderId="34" xfId="0" applyNumberFormat="1" applyFont="1" applyFill="1" applyBorder="1" applyAlignment="1">
      <alignment horizontal="right" vertical="center"/>
    </xf>
    <xf numFmtId="169" fontId="24" fillId="3" borderId="1" xfId="0" applyNumberFormat="1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3" xfId="0" applyFont="1" applyFill="1" applyBorder="1"/>
    <xf numFmtId="0" fontId="6" fillId="0" borderId="46" xfId="0" applyFont="1" applyFill="1" applyBorder="1" applyAlignment="1">
      <alignment horizontal="center"/>
    </xf>
    <xf numFmtId="164" fontId="6" fillId="0" borderId="34" xfId="0" applyNumberFormat="1" applyFont="1" applyFill="1" applyBorder="1" applyAlignment="1">
      <alignment vertical="center"/>
    </xf>
    <xf numFmtId="164" fontId="6" fillId="2" borderId="34" xfId="0" applyNumberFormat="1" applyFont="1" applyFill="1" applyBorder="1" applyAlignment="1">
      <alignment vertical="center"/>
    </xf>
    <xf numFmtId="164" fontId="6" fillId="2" borderId="34" xfId="3" applyNumberFormat="1" applyFont="1" applyFill="1" applyBorder="1"/>
    <xf numFmtId="0" fontId="6" fillId="2" borderId="3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vertical="center" wrapText="1"/>
    </xf>
    <xf numFmtId="164" fontId="6" fillId="2" borderId="34" xfId="0" applyNumberFormat="1" applyFont="1" applyFill="1" applyBorder="1" applyAlignment="1">
      <alignment horizontal="right" vertical="center"/>
    </xf>
    <xf numFmtId="4" fontId="6" fillId="2" borderId="21" xfId="0" applyNumberFormat="1" applyFont="1" applyFill="1" applyBorder="1" applyAlignment="1">
      <alignment vertical="center"/>
    </xf>
    <xf numFmtId="171" fontId="6" fillId="2" borderId="0" xfId="0" applyNumberFormat="1" applyFont="1" applyFill="1" applyAlignment="1">
      <alignment vertical="center"/>
    </xf>
    <xf numFmtId="4" fontId="7" fillId="3" borderId="4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vertical="center"/>
    </xf>
    <xf numFmtId="0" fontId="23" fillId="3" borderId="3" xfId="0" applyFont="1" applyFill="1" applyBorder="1" applyAlignment="1">
      <alignment horizontal="center" vertical="center"/>
    </xf>
    <xf numFmtId="0" fontId="8" fillId="3" borderId="0" xfId="0" applyFont="1" applyFill="1"/>
    <xf numFmtId="3" fontId="26" fillId="0" borderId="0" xfId="0" applyNumberFormat="1" applyFont="1" applyFill="1"/>
    <xf numFmtId="0" fontId="2" fillId="3" borderId="41" xfId="0" applyFont="1" applyFill="1" applyBorder="1"/>
    <xf numFmtId="3" fontId="2" fillId="3" borderId="41" xfId="0" applyNumberFormat="1" applyFont="1" applyFill="1" applyBorder="1"/>
    <xf numFmtId="3" fontId="1" fillId="3" borderId="41" xfId="0" applyNumberFormat="1" applyFont="1" applyFill="1" applyBorder="1"/>
    <xf numFmtId="4" fontId="7" fillId="3" borderId="41" xfId="0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/>
    <xf numFmtId="164" fontId="2" fillId="3" borderId="134" xfId="0" applyNumberFormat="1" applyFont="1" applyFill="1" applyBorder="1"/>
    <xf numFmtId="164" fontId="6" fillId="0" borderId="10" xfId="0" applyNumberFormat="1" applyFont="1" applyFill="1" applyBorder="1"/>
    <xf numFmtId="164" fontId="6" fillId="0" borderId="14" xfId="0" applyNumberFormat="1" applyFont="1" applyFill="1" applyBorder="1"/>
    <xf numFmtId="164" fontId="12" fillId="0" borderId="10" xfId="0" applyNumberFormat="1" applyFont="1" applyFill="1" applyBorder="1" applyAlignment="1">
      <alignment horizontal="left"/>
    </xf>
    <xf numFmtId="164" fontId="12" fillId="0" borderId="14" xfId="0" applyNumberFormat="1" applyFont="1" applyFill="1" applyBorder="1" applyAlignment="1">
      <alignment horizontal="right"/>
    </xf>
    <xf numFmtId="3" fontId="2" fillId="0" borderId="56" xfId="4" applyNumberFormat="1" applyFont="1" applyBorder="1"/>
    <xf numFmtId="3" fontId="7" fillId="2" borderId="94" xfId="4" applyNumberFormat="1" applyFont="1" applyFill="1" applyBorder="1"/>
    <xf numFmtId="3" fontId="6" fillId="2" borderId="94" xfId="4" applyNumberFormat="1" applyFont="1" applyFill="1" applyBorder="1"/>
    <xf numFmtId="3" fontId="7" fillId="0" borderId="18" xfId="0" applyNumberFormat="1" applyFont="1" applyBorder="1"/>
    <xf numFmtId="164" fontId="12" fillId="2" borderId="34" xfId="0" applyNumberFormat="1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2" borderId="14" xfId="0" applyNumberFormat="1" applyFont="1" applyFill="1" applyBorder="1" applyAlignment="1"/>
    <xf numFmtId="0" fontId="6" fillId="2" borderId="0" xfId="0" applyFont="1" applyFill="1" applyAlignment="1"/>
    <xf numFmtId="0" fontId="32" fillId="3" borderId="56" xfId="4" applyFont="1" applyFill="1" applyBorder="1" applyAlignment="1">
      <alignment horizontal="center" vertical="center" wrapText="1"/>
    </xf>
    <xf numFmtId="0" fontId="32" fillId="3" borderId="143" xfId="4" applyFont="1" applyFill="1" applyBorder="1" applyAlignment="1">
      <alignment horizontal="center" vertical="center" wrapText="1"/>
    </xf>
    <xf numFmtId="0" fontId="32" fillId="3" borderId="125" xfId="4" applyFont="1" applyFill="1" applyBorder="1" applyAlignment="1">
      <alignment horizontal="center" vertical="center" wrapText="1"/>
    </xf>
    <xf numFmtId="3" fontId="18" fillId="6" borderId="20" xfId="4" applyNumberFormat="1" applyFont="1" applyFill="1" applyBorder="1"/>
    <xf numFmtId="3" fontId="18" fillId="6" borderId="18" xfId="4" applyNumberFormat="1" applyFont="1" applyFill="1" applyBorder="1"/>
    <xf numFmtId="3" fontId="2" fillId="6" borderId="56" xfId="4" applyNumberFormat="1" applyFont="1" applyFill="1" applyBorder="1"/>
    <xf numFmtId="0" fontId="7" fillId="5" borderId="61" xfId="4" applyFont="1" applyFill="1" applyBorder="1" applyAlignment="1">
      <alignment horizontal="left"/>
    </xf>
    <xf numFmtId="3" fontId="7" fillId="5" borderId="20" xfId="4" applyNumberFormat="1" applyFont="1" applyFill="1" applyBorder="1"/>
    <xf numFmtId="3" fontId="24" fillId="5" borderId="20" xfId="4" applyNumberFormat="1" applyFont="1" applyFill="1" applyBorder="1" applyAlignment="1">
      <alignment horizontal="left"/>
    </xf>
    <xf numFmtId="4" fontId="24" fillId="5" borderId="62" xfId="0" applyNumberFormat="1" applyFont="1" applyFill="1" applyBorder="1" applyAlignment="1">
      <alignment horizontal="left"/>
    </xf>
    <xf numFmtId="164" fontId="6" fillId="2" borderId="44" xfId="0" applyNumberFormat="1" applyFont="1" applyFill="1" applyBorder="1" applyAlignment="1">
      <alignment horizontal="right" vertical="center"/>
    </xf>
    <xf numFmtId="164" fontId="6" fillId="2" borderId="34" xfId="0" applyNumberFormat="1" applyFont="1" applyFill="1" applyBorder="1" applyAlignment="1">
      <alignment horizontal="right"/>
    </xf>
    <xf numFmtId="3" fontId="30" fillId="2" borderId="59" xfId="4" applyNumberFormat="1" applyFont="1" applyFill="1" applyBorder="1"/>
    <xf numFmtId="0" fontId="2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22" xfId="0" applyFont="1" applyFill="1" applyBorder="1" applyAlignment="1">
      <alignment vertical="center"/>
    </xf>
    <xf numFmtId="0" fontId="24" fillId="2" borderId="27" xfId="0" applyFont="1" applyFill="1" applyBorder="1" applyAlignment="1">
      <alignment wrapText="1"/>
    </xf>
    <xf numFmtId="0" fontId="8" fillId="2" borderId="27" xfId="0" applyFont="1" applyFill="1" applyBorder="1" applyAlignment="1">
      <alignment horizontal="right"/>
    </xf>
    <xf numFmtId="0" fontId="6" fillId="2" borderId="27" xfId="0" applyFont="1" applyFill="1" applyBorder="1"/>
    <xf numFmtId="3" fontId="24" fillId="2" borderId="27" xfId="0" applyNumberFormat="1" applyFont="1" applyFill="1" applyBorder="1"/>
    <xf numFmtId="4" fontId="24" fillId="2" borderId="24" xfId="0" applyNumberFormat="1" applyFont="1" applyFill="1" applyBorder="1"/>
    <xf numFmtId="0" fontId="7" fillId="5" borderId="20" xfId="4" applyFont="1" applyFill="1" applyBorder="1" applyAlignment="1">
      <alignment horizontal="left"/>
    </xf>
    <xf numFmtId="3" fontId="7" fillId="3" borderId="130" xfId="4" applyNumberFormat="1" applyFont="1" applyFill="1" applyBorder="1" applyAlignment="1">
      <alignment vertical="center"/>
    </xf>
    <xf numFmtId="3" fontId="6" fillId="0" borderId="148" xfId="4" applyNumberFormat="1" applyFont="1" applyBorder="1"/>
    <xf numFmtId="3" fontId="6" fillId="0" borderId="147" xfId="4" applyNumberFormat="1" applyFont="1" applyBorder="1"/>
    <xf numFmtId="49" fontId="25" fillId="0" borderId="89" xfId="4" applyNumberFormat="1" applyFont="1" applyBorder="1" applyAlignment="1">
      <alignment wrapText="1"/>
    </xf>
    <xf numFmtId="0" fontId="6" fillId="0" borderId="89" xfId="4" applyFont="1" applyBorder="1" applyAlignment="1">
      <alignment wrapText="1"/>
    </xf>
    <xf numFmtId="3" fontId="2" fillId="0" borderId="125" xfId="4" applyNumberFormat="1" applyFont="1" applyBorder="1"/>
    <xf numFmtId="164" fontId="12" fillId="2" borderId="34" xfId="0" applyNumberFormat="1" applyFont="1" applyFill="1" applyBorder="1" applyAlignment="1">
      <alignment horizontal="left" vertical="center"/>
    </xf>
    <xf numFmtId="0" fontId="12" fillId="0" borderId="26" xfId="0" applyFont="1" applyFill="1" applyBorder="1" applyAlignment="1"/>
    <xf numFmtId="3" fontId="24" fillId="2" borderId="64" xfId="0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wrapText="1"/>
    </xf>
    <xf numFmtId="0" fontId="7" fillId="5" borderId="64" xfId="4" applyFont="1" applyFill="1" applyBorder="1" applyAlignment="1">
      <alignment horizontal="left"/>
    </xf>
    <xf numFmtId="0" fontId="7" fillId="3" borderId="139" xfId="0" applyFont="1" applyFill="1" applyBorder="1" applyAlignment="1">
      <alignment horizontal="left"/>
    </xf>
    <xf numFmtId="3" fontId="3" fillId="2" borderId="0" xfId="4" applyNumberFormat="1" applyFont="1" applyFill="1"/>
    <xf numFmtId="0" fontId="7" fillId="3" borderId="86" xfId="4" applyFont="1" applyFill="1" applyBorder="1" applyAlignment="1">
      <alignment horizontal="center" vertical="center" shrinkToFit="1"/>
    </xf>
    <xf numFmtId="49" fontId="6" fillId="0" borderId="150" xfId="4" applyNumberFormat="1" applyFont="1" applyBorder="1" applyAlignment="1">
      <alignment horizontal="center" wrapText="1"/>
    </xf>
    <xf numFmtId="49" fontId="6" fillId="0" borderId="89" xfId="4" applyNumberFormat="1" applyFont="1" applyBorder="1" applyAlignment="1">
      <alignment vertical="center"/>
    </xf>
    <xf numFmtId="49" fontId="6" fillId="0" borderId="89" xfId="4" applyNumberFormat="1" applyFont="1" applyBorder="1" applyAlignment="1">
      <alignment vertical="center" wrapText="1"/>
    </xf>
    <xf numFmtId="0" fontId="6" fillId="0" borderId="89" xfId="4" applyFont="1" applyBorder="1"/>
    <xf numFmtId="3" fontId="10" fillId="0" borderId="92" xfId="4" applyNumberFormat="1" applyFont="1" applyBorder="1"/>
    <xf numFmtId="49" fontId="6" fillId="0" borderId="151" xfId="4" applyNumberFormat="1" applyFont="1" applyBorder="1" applyAlignment="1">
      <alignment horizontal="left" vertical="center" wrapText="1"/>
    </xf>
    <xf numFmtId="49" fontId="6" fillId="0" borderId="151" xfId="4" applyNumberFormat="1" applyFont="1" applyBorder="1" applyAlignment="1">
      <alignment horizontal="center"/>
    </xf>
    <xf numFmtId="49" fontId="4" fillId="0" borderId="151" xfId="4" applyNumberFormat="1" applyFont="1" applyBorder="1" applyAlignment="1">
      <alignment horizontal="center"/>
    </xf>
    <xf numFmtId="0" fontId="10" fillId="2" borderId="0" xfId="4" applyFont="1" applyFill="1"/>
    <xf numFmtId="49" fontId="6" fillId="0" borderId="94" xfId="4" applyNumberFormat="1" applyFont="1" applyBorder="1" applyAlignment="1">
      <alignment horizontal="left" vertical="center" wrapText="1"/>
    </xf>
    <xf numFmtId="49" fontId="6" fillId="0" borderId="94" xfId="4" applyNumberFormat="1" applyFont="1" applyBorder="1" applyAlignment="1">
      <alignment horizontal="center"/>
    </xf>
    <xf numFmtId="49" fontId="4" fillId="2" borderId="94" xfId="4" applyNumberFormat="1" applyFont="1" applyFill="1" applyBorder="1" applyAlignment="1">
      <alignment horizontal="center"/>
    </xf>
    <xf numFmtId="3" fontId="2" fillId="3" borderId="121" xfId="4" applyNumberFormat="1" applyFont="1" applyFill="1" applyBorder="1" applyAlignment="1">
      <alignment vertical="center"/>
    </xf>
    <xf numFmtId="0" fontId="4" fillId="3" borderId="152" xfId="4" applyFont="1" applyFill="1" applyBorder="1" applyAlignment="1">
      <alignment horizontal="center"/>
    </xf>
    <xf numFmtId="0" fontId="4" fillId="3" borderId="151" xfId="4" applyFont="1" applyFill="1" applyBorder="1" applyAlignment="1">
      <alignment horizontal="center"/>
    </xf>
    <xf numFmtId="49" fontId="4" fillId="3" borderId="94" xfId="4" applyNumberFormat="1" applyFont="1" applyFill="1" applyBorder="1" applyAlignment="1">
      <alignment horizontal="center" vertical="center"/>
    </xf>
    <xf numFmtId="49" fontId="4" fillId="3" borderId="98" xfId="4" applyNumberFormat="1" applyFont="1" applyFill="1" applyBorder="1" applyAlignment="1">
      <alignment horizontal="center" vertical="center"/>
    </xf>
    <xf numFmtId="0" fontId="5" fillId="3" borderId="155" xfId="4" applyFont="1" applyFill="1" applyBorder="1" applyAlignment="1">
      <alignment horizontal="center"/>
    </xf>
    <xf numFmtId="0" fontId="5" fillId="3" borderId="103" xfId="4" applyFont="1" applyFill="1" applyBorder="1" applyAlignment="1">
      <alignment horizontal="center"/>
    </xf>
    <xf numFmtId="49" fontId="7" fillId="3" borderId="156" xfId="4" applyNumberFormat="1" applyFont="1" applyFill="1" applyBorder="1" applyAlignment="1">
      <alignment vertical="center"/>
    </xf>
    <xf numFmtId="49" fontId="7" fillId="3" borderId="124" xfId="4" applyNumberFormat="1" applyFont="1" applyFill="1" applyBorder="1" applyAlignment="1">
      <alignment horizontal="center" vertical="center"/>
    </xf>
    <xf numFmtId="49" fontId="4" fillId="3" borderId="86" xfId="4" applyNumberFormat="1" applyFont="1" applyFill="1" applyBorder="1" applyAlignment="1">
      <alignment horizontal="center" vertical="center"/>
    </xf>
    <xf numFmtId="49" fontId="6" fillId="0" borderId="92" xfId="4" applyNumberFormat="1" applyFont="1" applyBorder="1"/>
    <xf numFmtId="49" fontId="4" fillId="0" borderId="94" xfId="4" applyNumberFormat="1" applyFont="1" applyBorder="1" applyAlignment="1">
      <alignment horizontal="center"/>
    </xf>
    <xf numFmtId="49" fontId="6" fillId="0" borderId="92" xfId="4" applyNumberFormat="1" applyFont="1" applyBorder="1" applyAlignment="1">
      <alignment wrapText="1"/>
    </xf>
    <xf numFmtId="49" fontId="6" fillId="0" borderId="94" xfId="4" applyNumberFormat="1" applyFont="1" applyBorder="1" applyAlignment="1">
      <alignment horizontal="center" wrapText="1"/>
    </xf>
    <xf numFmtId="49" fontId="4" fillId="0" borderId="94" xfId="4" applyNumberFormat="1" applyFont="1" applyBorder="1" applyAlignment="1">
      <alignment horizontal="center" wrapText="1"/>
    </xf>
    <xf numFmtId="49" fontId="6" fillId="0" borderId="92" xfId="4" applyNumberFormat="1" applyFont="1" applyBorder="1" applyAlignment="1">
      <alignment vertical="center"/>
    </xf>
    <xf numFmtId="49" fontId="6" fillId="0" borderId="92" xfId="4" applyNumberFormat="1" applyFont="1" applyBorder="1" applyAlignment="1">
      <alignment vertical="center" wrapText="1"/>
    </xf>
    <xf numFmtId="0" fontId="6" fillId="0" borderId="92" xfId="4" applyFont="1" applyBorder="1"/>
    <xf numFmtId="49" fontId="7" fillId="3" borderId="87" xfId="4" applyNumberFormat="1" applyFont="1" applyFill="1" applyBorder="1" applyAlignment="1">
      <alignment vertical="center"/>
    </xf>
    <xf numFmtId="49" fontId="7" fillId="3" borderId="86" xfId="4" applyNumberFormat="1" applyFont="1" applyFill="1" applyBorder="1" applyAlignment="1">
      <alignment horizontal="center" vertical="center"/>
    </xf>
    <xf numFmtId="49" fontId="7" fillId="3" borderId="130" xfId="4" applyNumberFormat="1" applyFont="1" applyFill="1" applyBorder="1" applyAlignment="1">
      <alignment vertical="center"/>
    </xf>
    <xf numFmtId="49" fontId="7" fillId="3" borderId="125" xfId="4" applyNumberFormat="1" applyFont="1" applyFill="1" applyBorder="1" applyAlignment="1">
      <alignment horizontal="center" vertical="center"/>
    </xf>
    <xf numFmtId="49" fontId="4" fillId="3" borderId="125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2" borderId="43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left" vertical="center" wrapText="1"/>
    </xf>
    <xf numFmtId="4" fontId="6" fillId="0" borderId="45" xfId="0" applyNumberFormat="1" applyFont="1" applyBorder="1" applyAlignment="1">
      <alignment vertical="center"/>
    </xf>
    <xf numFmtId="3" fontId="2" fillId="0" borderId="0" xfId="4" applyNumberFormat="1" applyFont="1"/>
    <xf numFmtId="4" fontId="8" fillId="0" borderId="0" xfId="4" applyNumberFormat="1"/>
    <xf numFmtId="168" fontId="26" fillId="0" borderId="0" xfId="0" applyNumberFormat="1" applyFont="1" applyFill="1"/>
    <xf numFmtId="168" fontId="37" fillId="0" borderId="0" xfId="0" applyNumberFormat="1" applyFont="1" applyFill="1" applyAlignment="1">
      <alignment horizontal="center"/>
    </xf>
    <xf numFmtId="164" fontId="16" fillId="3" borderId="27" xfId="0" applyNumberFormat="1" applyFont="1" applyFill="1" applyBorder="1"/>
    <xf numFmtId="0" fontId="13" fillId="0" borderId="39" xfId="0" applyFont="1" applyFill="1" applyBorder="1" applyAlignment="1">
      <alignment horizontal="center"/>
    </xf>
    <xf numFmtId="164" fontId="6" fillId="0" borderId="157" xfId="0" applyNumberFormat="1" applyFont="1" applyFill="1" applyBorder="1" applyAlignment="1">
      <alignment horizontal="right"/>
    </xf>
    <xf numFmtId="168" fontId="6" fillId="0" borderId="0" xfId="0" applyNumberFormat="1" applyFont="1" applyFill="1"/>
    <xf numFmtId="168" fontId="17" fillId="0" borderId="0" xfId="0" applyNumberFormat="1" applyFont="1" applyFill="1"/>
    <xf numFmtId="164" fontId="6" fillId="4" borderId="10" xfId="0" applyNumberFormat="1" applyFont="1" applyFill="1" applyBorder="1"/>
    <xf numFmtId="0" fontId="13" fillId="0" borderId="0" xfId="0" applyFont="1" applyFill="1" applyAlignment="1">
      <alignment horizontal="center"/>
    </xf>
    <xf numFmtId="164" fontId="12" fillId="2" borderId="14" xfId="0" applyNumberFormat="1" applyFont="1" applyFill="1" applyBorder="1" applyAlignment="1">
      <alignment horizontal="justify" vertical="center"/>
    </xf>
    <xf numFmtId="3" fontId="6" fillId="2" borderId="35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0" fontId="6" fillId="0" borderId="159" xfId="0" applyFont="1" applyFill="1" applyBorder="1" applyAlignment="1">
      <alignment horizontal="center"/>
    </xf>
    <xf numFmtId="0" fontId="12" fillId="0" borderId="160" xfId="0" applyFont="1" applyFill="1" applyBorder="1" applyAlignment="1"/>
    <xf numFmtId="164" fontId="12" fillId="2" borderId="15" xfId="0" applyNumberFormat="1" applyFont="1" applyFill="1" applyBorder="1" applyAlignment="1">
      <alignment horizontal="left" vertical="center"/>
    </xf>
    <xf numFmtId="164" fontId="12" fillId="0" borderId="29" xfId="0" applyNumberFormat="1" applyFont="1" applyFill="1" applyBorder="1" applyAlignment="1">
      <alignment vertical="center"/>
    </xf>
    <xf numFmtId="3" fontId="6" fillId="2" borderId="34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/>
    </xf>
    <xf numFmtId="0" fontId="21" fillId="0" borderId="0" xfId="4" applyFont="1"/>
    <xf numFmtId="0" fontId="8" fillId="0" borderId="7" xfId="4" applyBorder="1"/>
    <xf numFmtId="4" fontId="8" fillId="0" borderId="0" xfId="4" applyNumberFormat="1" applyAlignment="1">
      <alignment horizontal="right"/>
    </xf>
    <xf numFmtId="0" fontId="8" fillId="3" borderId="3" xfId="4" applyFill="1" applyBorder="1" applyAlignment="1">
      <alignment horizontal="center" vertical="center"/>
    </xf>
    <xf numFmtId="0" fontId="8" fillId="3" borderId="6" xfId="4" applyFill="1" applyBorder="1" applyAlignment="1">
      <alignment horizontal="center"/>
    </xf>
    <xf numFmtId="3" fontId="8" fillId="3" borderId="6" xfId="4" applyNumberFormat="1" applyFill="1" applyBorder="1" applyAlignment="1">
      <alignment horizontal="center" vertical="center" wrapText="1"/>
    </xf>
    <xf numFmtId="4" fontId="8" fillId="3" borderId="47" xfId="4" applyNumberFormat="1" applyFill="1" applyBorder="1" applyAlignment="1">
      <alignment horizontal="center" vertical="center" wrapText="1"/>
    </xf>
    <xf numFmtId="166" fontId="7" fillId="2" borderId="44" xfId="4" applyNumberFormat="1" applyFont="1" applyFill="1" applyBorder="1"/>
    <xf numFmtId="3" fontId="7" fillId="2" borderId="44" xfId="4" applyNumberFormat="1" applyFont="1" applyFill="1" applyBorder="1"/>
    <xf numFmtId="4" fontId="7" fillId="2" borderId="45" xfId="4" applyNumberFormat="1" applyFont="1" applyFill="1" applyBorder="1"/>
    <xf numFmtId="0" fontId="30" fillId="2" borderId="0" xfId="4" applyFont="1" applyFill="1"/>
    <xf numFmtId="4" fontId="7" fillId="2" borderId="60" xfId="4" applyNumberFormat="1" applyFont="1" applyFill="1" applyBorder="1"/>
    <xf numFmtId="3" fontId="30" fillId="2" borderId="0" xfId="4" applyNumberFormat="1" applyFont="1" applyFill="1"/>
    <xf numFmtId="0" fontId="30" fillId="4" borderId="0" xfId="4" applyFont="1" applyFill="1"/>
    <xf numFmtId="3" fontId="30" fillId="4" borderId="0" xfId="4" applyNumberFormat="1" applyFont="1" applyFill="1"/>
    <xf numFmtId="0" fontId="40" fillId="0" borderId="0" xfId="0" applyFont="1" applyAlignment="1">
      <alignment horizontal="left"/>
    </xf>
    <xf numFmtId="0" fontId="8" fillId="2" borderId="0" xfId="4" applyFill="1"/>
    <xf numFmtId="168" fontId="10" fillId="0" borderId="0" xfId="0" applyNumberFormat="1" applyFont="1" applyFill="1"/>
    <xf numFmtId="164" fontId="10" fillId="2" borderId="11" xfId="0" applyNumberFormat="1" applyFont="1" applyFill="1" applyBorder="1"/>
    <xf numFmtId="168" fontId="16" fillId="3" borderId="0" xfId="0" applyNumberFormat="1" applyFont="1" applyFill="1"/>
    <xf numFmtId="4" fontId="6" fillId="2" borderId="0" xfId="0" applyNumberFormat="1" applyFont="1" applyFill="1"/>
    <xf numFmtId="0" fontId="2" fillId="2" borderId="0" xfId="4" applyFont="1" applyFill="1"/>
    <xf numFmtId="0" fontId="5" fillId="0" borderId="0" xfId="4" applyFont="1"/>
    <xf numFmtId="0" fontId="6" fillId="2" borderId="61" xfId="0" applyFont="1" applyFill="1" applyBorder="1"/>
    <xf numFmtId="0" fontId="8" fillId="2" borderId="48" xfId="0" applyFont="1" applyFill="1" applyBorder="1" applyAlignment="1">
      <alignment horizontal="left"/>
    </xf>
    <xf numFmtId="0" fontId="6" fillId="2" borderId="53" xfId="0" applyFont="1" applyFill="1" applyBorder="1"/>
    <xf numFmtId="0" fontId="24" fillId="2" borderId="59" xfId="0" applyFont="1" applyFill="1" applyBorder="1" applyAlignment="1">
      <alignment wrapText="1"/>
    </xf>
    <xf numFmtId="0" fontId="24" fillId="2" borderId="34" xfId="0" applyFont="1" applyFill="1" applyBorder="1"/>
    <xf numFmtId="0" fontId="24" fillId="2" borderId="161" xfId="0" applyFont="1" applyFill="1" applyBorder="1" applyAlignment="1">
      <alignment wrapText="1"/>
    </xf>
    <xf numFmtId="0" fontId="8" fillId="2" borderId="161" xfId="0" applyFont="1" applyFill="1" applyBorder="1"/>
    <xf numFmtId="0" fontId="24" fillId="2" borderId="161" xfId="0" applyFont="1" applyFill="1" applyBorder="1"/>
    <xf numFmtId="3" fontId="24" fillId="2" borderId="161" xfId="0" applyNumberFormat="1" applyFont="1" applyFill="1" applyBorder="1"/>
    <xf numFmtId="4" fontId="24" fillId="2" borderId="162" xfId="0" applyNumberFormat="1" applyFont="1" applyFill="1" applyBorder="1"/>
    <xf numFmtId="0" fontId="31" fillId="0" borderId="0" xfId="0" applyFont="1"/>
    <xf numFmtId="3" fontId="41" fillId="2" borderId="34" xfId="0" applyNumberFormat="1" applyFont="1" applyFill="1" applyBorder="1"/>
    <xf numFmtId="0" fontId="7" fillId="3" borderId="73" xfId="4" applyFont="1" applyFill="1" applyBorder="1"/>
    <xf numFmtId="0" fontId="6" fillId="0" borderId="49" xfId="0" applyFont="1" applyBorder="1"/>
    <xf numFmtId="0" fontId="24" fillId="4" borderId="18" xfId="0" applyFont="1" applyFill="1" applyBorder="1"/>
    <xf numFmtId="0" fontId="6" fillId="0" borderId="66" xfId="0" applyFont="1" applyBorder="1"/>
    <xf numFmtId="0" fontId="8" fillId="2" borderId="0" xfId="0" applyFont="1" applyFill="1" applyAlignment="1">
      <alignment wrapText="1"/>
    </xf>
    <xf numFmtId="0" fontId="8" fillId="0" borderId="66" xfId="0" applyFont="1" applyBorder="1"/>
    <xf numFmtId="0" fontId="7" fillId="3" borderId="76" xfId="4" applyFont="1" applyFill="1" applyBorder="1"/>
    <xf numFmtId="0" fontId="7" fillId="3" borderId="56" xfId="4" applyFont="1" applyFill="1" applyBorder="1"/>
    <xf numFmtId="4" fontId="6" fillId="0" borderId="0" xfId="0" applyNumberFormat="1" applyFont="1"/>
    <xf numFmtId="49" fontId="4" fillId="0" borderId="0" xfId="4" applyNumberFormat="1" applyFont="1" applyAlignment="1">
      <alignment horizontal="right"/>
    </xf>
    <xf numFmtId="0" fontId="4" fillId="0" borderId="0" xfId="4" applyFont="1" applyAlignment="1">
      <alignment horizontal="right"/>
    </xf>
    <xf numFmtId="0" fontId="8" fillId="0" borderId="0" xfId="4" applyAlignment="1">
      <alignment horizontal="right"/>
    </xf>
    <xf numFmtId="0" fontId="8" fillId="3" borderId="102" xfId="4" applyFill="1" applyBorder="1" applyAlignment="1">
      <alignment horizontal="center"/>
    </xf>
    <xf numFmtId="3" fontId="6" fillId="0" borderId="0" xfId="4" applyNumberFormat="1" applyFont="1"/>
    <xf numFmtId="49" fontId="6" fillId="0" borderId="0" xfId="4" applyNumberFormat="1" applyFont="1" applyAlignment="1">
      <alignment horizontal="center"/>
    </xf>
    <xf numFmtId="49" fontId="6" fillId="0" borderId="0" xfId="4" applyNumberFormat="1" applyFont="1" applyAlignment="1">
      <alignment horizontal="center" wrapText="1"/>
    </xf>
    <xf numFmtId="0" fontId="8" fillId="0" borderId="89" xfId="4" applyBorder="1"/>
    <xf numFmtId="0" fontId="8" fillId="0" borderId="101" xfId="4" applyBorder="1"/>
    <xf numFmtId="49" fontId="7" fillId="0" borderId="0" xfId="4" applyNumberFormat="1" applyFont="1" applyAlignment="1">
      <alignment horizontal="center"/>
    </xf>
    <xf numFmtId="3" fontId="6" fillId="0" borderId="0" xfId="4" applyNumberFormat="1" applyFont="1" applyAlignment="1">
      <alignment vertical="center"/>
    </xf>
    <xf numFmtId="49" fontId="8" fillId="0" borderId="89" xfId="4" applyNumberFormat="1" applyBorder="1"/>
    <xf numFmtId="49" fontId="8" fillId="0" borderId="0" xfId="4" applyNumberFormat="1" applyAlignment="1">
      <alignment horizontal="center"/>
    </xf>
    <xf numFmtId="3" fontId="7" fillId="0" borderId="0" xfId="4" applyNumberFormat="1" applyFont="1"/>
    <xf numFmtId="3" fontId="10" fillId="0" borderId="0" xfId="4" applyNumberFormat="1" applyFont="1"/>
    <xf numFmtId="3" fontId="7" fillId="3" borderId="83" xfId="4" applyNumberFormat="1" applyFont="1" applyFill="1" applyBorder="1" applyAlignment="1">
      <alignment vertical="center"/>
    </xf>
    <xf numFmtId="3" fontId="10" fillId="2" borderId="0" xfId="4" applyNumberFormat="1" applyFont="1" applyFill="1"/>
    <xf numFmtId="49" fontId="6" fillId="0" borderId="147" xfId="4" applyNumberFormat="1" applyFont="1" applyBorder="1" applyAlignment="1">
      <alignment horizontal="left" vertical="center" wrapText="1"/>
    </xf>
    <xf numFmtId="49" fontId="2" fillId="3" borderId="103" xfId="4" applyNumberFormat="1" applyFont="1" applyFill="1" applyBorder="1" applyAlignment="1">
      <alignment vertical="center"/>
    </xf>
    <xf numFmtId="49" fontId="2" fillId="3" borderId="128" xfId="4" applyNumberFormat="1" applyFont="1" applyFill="1" applyBorder="1" applyAlignment="1">
      <alignment horizontal="center" vertical="center"/>
    </xf>
    <xf numFmtId="49" fontId="4" fillId="3" borderId="128" xfId="4" applyNumberFormat="1" applyFont="1" applyFill="1" applyBorder="1" applyAlignment="1">
      <alignment horizontal="center" vertical="center"/>
    </xf>
    <xf numFmtId="3" fontId="2" fillId="3" borderId="116" xfId="4" applyNumberFormat="1" applyFont="1" applyFill="1" applyBorder="1" applyAlignment="1">
      <alignment vertical="center"/>
    </xf>
    <xf numFmtId="0" fontId="8" fillId="3" borderId="106" xfId="4" applyFill="1" applyBorder="1" applyAlignment="1">
      <alignment horizontal="center"/>
    </xf>
    <xf numFmtId="49" fontId="8" fillId="0" borderId="92" xfId="4" applyNumberFormat="1" applyBorder="1"/>
    <xf numFmtId="49" fontId="8" fillId="0" borderId="94" xfId="4" applyNumberFormat="1" applyBorder="1" applyAlignment="1">
      <alignment horizontal="center"/>
    </xf>
    <xf numFmtId="3" fontId="6" fillId="0" borderId="0" xfId="0" applyNumberFormat="1" applyFont="1" applyAlignment="1">
      <alignment horizontal="left" vertical="center" wrapText="1"/>
    </xf>
    <xf numFmtId="3" fontId="5" fillId="2" borderId="0" xfId="0" applyNumberFormat="1" applyFont="1" applyFill="1" applyAlignment="1">
      <alignment horizontal="center"/>
    </xf>
    <xf numFmtId="3" fontId="26" fillId="0" borderId="0" xfId="0" applyNumberFormat="1" applyFont="1"/>
    <xf numFmtId="0" fontId="26" fillId="0" borderId="0" xfId="0" applyFont="1"/>
    <xf numFmtId="3" fontId="26" fillId="0" borderId="0" xfId="0" applyNumberFormat="1" applyFont="1" applyAlignment="1">
      <alignment wrapText="1"/>
    </xf>
    <xf numFmtId="3" fontId="8" fillId="0" borderId="48" xfId="4" applyNumberFormat="1" applyBorder="1"/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3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3" fontId="8" fillId="0" borderId="48" xfId="0" applyNumberFormat="1" applyFont="1" applyBorder="1"/>
    <xf numFmtId="0" fontId="7" fillId="0" borderId="50" xfId="0" applyFont="1" applyBorder="1" applyAlignment="1">
      <alignment horizontal="left" vertical="center"/>
    </xf>
    <xf numFmtId="0" fontId="8" fillId="0" borderId="48" xfId="4" applyBorder="1"/>
    <xf numFmtId="0" fontId="23" fillId="2" borderId="0" xfId="0" applyFont="1" applyFill="1" applyAlignment="1">
      <alignment horizontal="center"/>
    </xf>
    <xf numFmtId="0" fontId="42" fillId="0" borderId="0" xfId="0" applyFont="1"/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/>
    <xf numFmtId="164" fontId="12" fillId="2" borderId="14" xfId="0" applyNumberFormat="1" applyFont="1" applyFill="1" applyBorder="1" applyAlignment="1">
      <alignment horizontal="center" vertical="center"/>
    </xf>
    <xf numFmtId="168" fontId="13" fillId="0" borderId="0" xfId="0" applyNumberFormat="1" applyFont="1" applyFill="1" applyAlignment="1"/>
    <xf numFmtId="0" fontId="12" fillId="0" borderId="14" xfId="0" applyFont="1" applyFill="1" applyBorder="1" applyAlignment="1">
      <alignment horizontal="left" indent="2"/>
    </xf>
    <xf numFmtId="164" fontId="12" fillId="2" borderId="35" xfId="0" applyNumberFormat="1" applyFont="1" applyFill="1" applyBorder="1" applyAlignment="1">
      <alignment horizontal="center" vertical="center"/>
    </xf>
    <xf numFmtId="0" fontId="12" fillId="0" borderId="35" xfId="0" applyFont="1" applyFill="1" applyBorder="1" applyAlignment="1"/>
    <xf numFmtId="164" fontId="12" fillId="2" borderId="34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0" fontId="18" fillId="0" borderId="144" xfId="4" applyFont="1" applyBorder="1"/>
    <xf numFmtId="0" fontId="18" fillId="0" borderId="20" xfId="4" applyFont="1" applyBorder="1"/>
    <xf numFmtId="3" fontId="18" fillId="0" borderId="20" xfId="4" applyNumberFormat="1" applyFont="1" applyBorder="1"/>
    <xf numFmtId="3" fontId="18" fillId="0" borderId="124" xfId="4" applyNumberFormat="1" applyFont="1" applyBorder="1"/>
    <xf numFmtId="0" fontId="18" fillId="0" borderId="79" xfId="4" applyFont="1" applyBorder="1"/>
    <xf numFmtId="3" fontId="18" fillId="0" borderId="18" xfId="4" applyNumberFormat="1" applyFont="1" applyBorder="1"/>
    <xf numFmtId="3" fontId="18" fillId="0" borderId="131" xfId="4" applyNumberFormat="1" applyFont="1" applyBorder="1"/>
    <xf numFmtId="0" fontId="43" fillId="0" borderId="0" xfId="0" applyFont="1"/>
    <xf numFmtId="3" fontId="6" fillId="4" borderId="0" xfId="0" applyNumberFormat="1" applyFont="1" applyFill="1"/>
    <xf numFmtId="0" fontId="6" fillId="2" borderId="0" xfId="0" applyFont="1" applyFill="1" applyAlignment="1">
      <alignment wrapText="1"/>
    </xf>
    <xf numFmtId="0" fontId="8" fillId="2" borderId="0" xfId="0" applyFont="1" applyFill="1" applyAlignment="1"/>
    <xf numFmtId="3" fontId="6" fillId="0" borderId="14" xfId="0" applyNumberFormat="1" applyFont="1" applyFill="1" applyBorder="1" applyAlignment="1">
      <alignment vertical="center"/>
    </xf>
    <xf numFmtId="0" fontId="17" fillId="7" borderId="0" xfId="0" applyFont="1" applyFill="1"/>
    <xf numFmtId="0" fontId="6" fillId="0" borderId="14" xfId="0" applyFont="1" applyFill="1" applyBorder="1" applyAlignment="1">
      <alignment wrapText="1"/>
    </xf>
    <xf numFmtId="0" fontId="6" fillId="2" borderId="12" xfId="0" applyFont="1" applyFill="1" applyBorder="1" applyAlignment="1">
      <alignment vertical="center" wrapText="1"/>
    </xf>
    <xf numFmtId="164" fontId="6" fillId="2" borderId="29" xfId="0" applyNumberFormat="1" applyFont="1" applyFill="1" applyBorder="1"/>
    <xf numFmtId="0" fontId="6" fillId="0" borderId="26" xfId="0" applyFont="1" applyFill="1" applyBorder="1" applyAlignment="1">
      <alignment vertical="center" wrapText="1"/>
    </xf>
    <xf numFmtId="164" fontId="6" fillId="0" borderId="157" xfId="0" applyNumberFormat="1" applyFont="1" applyFill="1" applyBorder="1" applyAlignment="1">
      <alignment vertical="center"/>
    </xf>
    <xf numFmtId="0" fontId="2" fillId="0" borderId="17" xfId="0" applyFont="1" applyFill="1" applyBorder="1"/>
    <xf numFmtId="3" fontId="2" fillId="0" borderId="18" xfId="0" applyNumberFormat="1" applyFont="1" applyFill="1" applyBorder="1" applyAlignment="1"/>
    <xf numFmtId="164" fontId="2" fillId="0" borderId="18" xfId="0" applyNumberFormat="1" applyFont="1" applyFill="1" applyBorder="1" applyAlignment="1"/>
    <xf numFmtId="4" fontId="2" fillId="0" borderId="18" xfId="0" applyNumberFormat="1" applyFont="1" applyFill="1" applyBorder="1" applyAlignment="1"/>
    <xf numFmtId="164" fontId="2" fillId="0" borderId="30" xfId="0" applyNumberFormat="1" applyFont="1" applyFill="1" applyBorder="1" applyAlignment="1">
      <alignment shrinkToFit="1"/>
    </xf>
    <xf numFmtId="0" fontId="18" fillId="0" borderId="0" xfId="0" applyFont="1" applyFill="1"/>
    <xf numFmtId="3" fontId="18" fillId="0" borderId="0" xfId="0" applyNumberFormat="1" applyFont="1" applyFill="1"/>
    <xf numFmtId="0" fontId="6" fillId="0" borderId="17" xfId="0" applyFont="1" applyFill="1" applyBorder="1"/>
    <xf numFmtId="3" fontId="6" fillId="0" borderId="18" xfId="0" applyNumberFormat="1" applyFont="1" applyFill="1" applyBorder="1" applyAlignment="1"/>
    <xf numFmtId="164" fontId="6" fillId="0" borderId="18" xfId="0" applyNumberFormat="1" applyFont="1" applyFill="1" applyBorder="1" applyAlignment="1"/>
    <xf numFmtId="164" fontId="6" fillId="0" borderId="18" xfId="0" applyNumberFormat="1" applyFont="1" applyFill="1" applyBorder="1"/>
    <xf numFmtId="4" fontId="6" fillId="0" borderId="18" xfId="0" applyNumberFormat="1" applyFont="1" applyFill="1" applyBorder="1"/>
    <xf numFmtId="164" fontId="6" fillId="0" borderId="30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31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4" fontId="2" fillId="3" borderId="6" xfId="0" applyNumberFormat="1" applyFont="1" applyFill="1" applyBorder="1" applyAlignment="1"/>
    <xf numFmtId="4" fontId="2" fillId="3" borderId="6" xfId="0" applyNumberFormat="1" applyFont="1" applyFill="1" applyBorder="1" applyAlignment="1"/>
    <xf numFmtId="164" fontId="2" fillId="3" borderId="32" xfId="0" applyNumberFormat="1" applyFont="1" applyFill="1" applyBorder="1"/>
    <xf numFmtId="4" fontId="8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" fillId="0" borderId="0" xfId="0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9" fontId="6" fillId="0" borderId="43" xfId="0" applyNumberFormat="1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44" xfId="0" applyFont="1" applyBorder="1" applyAlignment="1">
      <alignment wrapText="1"/>
    </xf>
    <xf numFmtId="164" fontId="6" fillId="0" borderId="4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69" fontId="6" fillId="0" borderId="46" xfId="0" applyNumberFormat="1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34" xfId="0" applyFont="1" applyBorder="1" applyAlignment="1">
      <alignment wrapText="1"/>
    </xf>
    <xf numFmtId="164" fontId="6" fillId="0" borderId="34" xfId="0" applyNumberFormat="1" applyFont="1" applyBorder="1" applyAlignment="1">
      <alignment vertical="center"/>
    </xf>
    <xf numFmtId="169" fontId="6" fillId="0" borderId="46" xfId="0" applyNumberFormat="1" applyFont="1" applyBorder="1" applyAlignment="1">
      <alignment horizontal="center"/>
    </xf>
    <xf numFmtId="0" fontId="6" fillId="0" borderId="141" xfId="0" applyFont="1" applyBorder="1" applyAlignment="1">
      <alignment horizontal="center"/>
    </xf>
    <xf numFmtId="164" fontId="6" fillId="0" borderId="34" xfId="0" applyNumberFormat="1" applyFont="1" applyBorder="1"/>
    <xf numFmtId="4" fontId="6" fillId="0" borderId="21" xfId="0" applyNumberFormat="1" applyFont="1" applyBorder="1"/>
    <xf numFmtId="169" fontId="6" fillId="0" borderId="5" xfId="0" applyNumberFormat="1" applyFont="1" applyBorder="1" applyAlignment="1">
      <alignment horizontal="center"/>
    </xf>
    <xf numFmtId="0" fontId="6" fillId="0" borderId="146" xfId="0" applyFont="1" applyBorder="1" applyAlignment="1">
      <alignment horizontal="center"/>
    </xf>
    <xf numFmtId="0" fontId="6" fillId="0" borderId="6" xfId="0" applyFont="1" applyBorder="1"/>
    <xf numFmtId="164" fontId="6" fillId="0" borderId="6" xfId="0" applyNumberFormat="1" applyFont="1" applyBorder="1" applyAlignment="1">
      <alignment vertical="center"/>
    </xf>
    <xf numFmtId="164" fontId="24" fillId="3" borderId="6" xfId="0" applyNumberFormat="1" applyFont="1" applyFill="1" applyBorder="1"/>
    <xf numFmtId="164" fontId="24" fillId="3" borderId="3" xfId="0" applyNumberFormat="1" applyFont="1" applyFill="1" applyBorder="1"/>
    <xf numFmtId="0" fontId="6" fillId="0" borderId="34" xfId="0" applyFont="1" applyBorder="1" applyAlignment="1">
      <alignment horizontal="center"/>
    </xf>
    <xf numFmtId="164" fontId="6" fillId="2" borderId="34" xfId="0" applyNumberFormat="1" applyFont="1" applyFill="1" applyBorder="1"/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4" fontId="6" fillId="2" borderId="21" xfId="3" applyNumberFormat="1" applyFont="1" applyFill="1" applyBorder="1"/>
    <xf numFmtId="0" fontId="6" fillId="0" borderId="34" xfId="0" applyFont="1" applyBorder="1" applyAlignment="1">
      <alignment vertical="center" wrapText="1"/>
    </xf>
    <xf numFmtId="4" fontId="6" fillId="0" borderId="21" xfId="0" applyNumberFormat="1" applyFont="1" applyBorder="1" applyAlignment="1">
      <alignment vertical="center" shrinkToFit="1"/>
    </xf>
    <xf numFmtId="3" fontId="2" fillId="3" borderId="3" xfId="0" applyNumberFormat="1" applyFont="1" applyFill="1" applyBorder="1"/>
    <xf numFmtId="164" fontId="2" fillId="3" borderId="3" xfId="0" applyNumberFormat="1" applyFont="1" applyFill="1" applyBorder="1"/>
    <xf numFmtId="4" fontId="6" fillId="0" borderId="0" xfId="0" applyNumberFormat="1" applyFont="1" applyAlignment="1">
      <alignment vertical="center"/>
    </xf>
    <xf numFmtId="171" fontId="8" fillId="0" borderId="0" xfId="0" applyNumberFormat="1" applyFont="1"/>
    <xf numFmtId="3" fontId="6" fillId="0" borderId="34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49" fontId="6" fillId="0" borderId="46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4" xfId="0" applyFont="1" applyBorder="1"/>
    <xf numFmtId="3" fontId="6" fillId="0" borderId="44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vertical="center"/>
    </xf>
    <xf numFmtId="1" fontId="6" fillId="0" borderId="46" xfId="0" applyNumberFormat="1" applyFont="1" applyBorder="1" applyAlignment="1">
      <alignment horizontal="center" vertical="center"/>
    </xf>
    <xf numFmtId="3" fontId="8" fillId="3" borderId="0" xfId="0" applyNumberFormat="1" applyFont="1" applyFill="1"/>
    <xf numFmtId="4" fontId="6" fillId="0" borderId="48" xfId="0" applyNumberFormat="1" applyFont="1" applyBorder="1" applyAlignment="1">
      <alignment vertical="center"/>
    </xf>
    <xf numFmtId="4" fontId="7" fillId="3" borderId="41" xfId="0" applyNumberFormat="1" applyFont="1" applyFill="1" applyBorder="1"/>
    <xf numFmtId="3" fontId="8" fillId="0" borderId="0" xfId="0" applyNumberFormat="1" applyFont="1" applyAlignment="1">
      <alignment horizontal="right"/>
    </xf>
    <xf numFmtId="0" fontId="8" fillId="2" borderId="43" xfId="0" applyFont="1" applyFill="1" applyBorder="1" applyAlignment="1">
      <alignment horizontal="center"/>
    </xf>
    <xf numFmtId="3" fontId="6" fillId="2" borderId="44" xfId="0" applyNumberFormat="1" applyFont="1" applyFill="1" applyBorder="1" applyAlignment="1">
      <alignment horizontal="right" vertical="center"/>
    </xf>
    <xf numFmtId="0" fontId="8" fillId="2" borderId="46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4" fillId="0" borderId="0" xfId="0" applyFont="1"/>
    <xf numFmtId="0" fontId="2" fillId="0" borderId="48" xfId="0" applyFont="1" applyBorder="1"/>
    <xf numFmtId="3" fontId="2" fillId="0" borderId="48" xfId="0" applyNumberFormat="1" applyFont="1" applyBorder="1"/>
    <xf numFmtId="4" fontId="7" fillId="0" borderId="48" xfId="0" applyNumberFormat="1" applyFont="1" applyBorder="1" applyAlignment="1">
      <alignment vertical="center"/>
    </xf>
    <xf numFmtId="4" fontId="6" fillId="0" borderId="49" xfId="0" applyNumberFormat="1" applyFont="1" applyBorder="1" applyAlignment="1">
      <alignment vertical="center"/>
    </xf>
    <xf numFmtId="0" fontId="44" fillId="3" borderId="0" xfId="0" applyFont="1" applyFill="1"/>
    <xf numFmtId="168" fontId="8" fillId="0" borderId="0" xfId="0" applyNumberFormat="1" applyFont="1"/>
    <xf numFmtId="0" fontId="2" fillId="0" borderId="0" xfId="0" applyFont="1" applyFill="1" applyBorder="1" applyAlignment="1"/>
    <xf numFmtId="168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58" xfId="0" applyFont="1" applyFill="1" applyBorder="1" applyAlignment="1">
      <alignment wrapText="1"/>
    </xf>
    <xf numFmtId="3" fontId="6" fillId="0" borderId="34" xfId="0" applyNumberFormat="1" applyFont="1" applyFill="1" applyBorder="1"/>
    <xf numFmtId="164" fontId="6" fillId="0" borderId="34" xfId="0" applyNumberFormat="1" applyFont="1" applyFill="1" applyBorder="1"/>
    <xf numFmtId="164" fontId="6" fillId="2" borderId="26" xfId="0" applyNumberFormat="1" applyFont="1" applyFill="1" applyBorder="1"/>
    <xf numFmtId="165" fontId="6" fillId="0" borderId="157" xfId="0" applyNumberFormat="1" applyFont="1" applyFill="1" applyBorder="1"/>
    <xf numFmtId="0" fontId="6" fillId="0" borderId="132" xfId="0" applyFont="1" applyFill="1" applyBorder="1" applyAlignment="1">
      <alignment horizontal="center"/>
    </xf>
    <xf numFmtId="0" fontId="6" fillId="0" borderId="35" xfId="0" applyFont="1" applyFill="1" applyBorder="1" applyAlignment="1">
      <alignment wrapText="1"/>
    </xf>
    <xf numFmtId="3" fontId="6" fillId="0" borderId="35" xfId="0" applyNumberFormat="1" applyFont="1" applyFill="1" applyBorder="1"/>
    <xf numFmtId="164" fontId="6" fillId="0" borderId="35" xfId="0" applyNumberFormat="1" applyFont="1" applyFill="1" applyBorder="1"/>
    <xf numFmtId="164" fontId="6" fillId="2" borderId="40" xfId="0" applyNumberFormat="1" applyFont="1" applyFill="1" applyBorder="1"/>
    <xf numFmtId="165" fontId="6" fillId="0" borderId="133" xfId="0" applyNumberFormat="1" applyFont="1" applyFill="1" applyBorder="1"/>
    <xf numFmtId="0" fontId="6" fillId="0" borderId="33" xfId="0" applyFont="1" applyFill="1" applyBorder="1" applyAlignment="1">
      <alignment horizontal="center"/>
    </xf>
    <xf numFmtId="0" fontId="6" fillId="0" borderId="44" xfId="0" applyFont="1" applyFill="1" applyBorder="1" applyAlignment="1">
      <alignment wrapText="1"/>
    </xf>
    <xf numFmtId="3" fontId="6" fillId="0" borderId="25" xfId="0" applyNumberFormat="1" applyFont="1" applyFill="1" applyBorder="1"/>
    <xf numFmtId="164" fontId="6" fillId="0" borderId="25" xfId="0" applyNumberFormat="1" applyFont="1" applyFill="1" applyBorder="1"/>
    <xf numFmtId="0" fontId="2" fillId="3" borderId="22" xfId="0" applyFont="1" applyFill="1" applyBorder="1" applyAlignment="1">
      <alignment horizontal="center"/>
    </xf>
    <xf numFmtId="0" fontId="2" fillId="3" borderId="27" xfId="0" applyFont="1" applyFill="1" applyBorder="1"/>
    <xf numFmtId="165" fontId="6" fillId="0" borderId="42" xfId="0" applyNumberFormat="1" applyFont="1" applyFill="1" applyBorder="1"/>
    <xf numFmtId="165" fontId="2" fillId="3" borderId="24" xfId="0" applyNumberFormat="1" applyFont="1" applyFill="1" applyBorder="1"/>
    <xf numFmtId="0" fontId="10" fillId="2" borderId="0" xfId="0" applyFont="1" applyFill="1" applyAlignment="1">
      <alignment horizontal="right"/>
    </xf>
    <xf numFmtId="49" fontId="10" fillId="2" borderId="0" xfId="0" applyNumberFormat="1" applyFont="1" applyFill="1" applyAlignment="1">
      <alignment horizontal="right"/>
    </xf>
    <xf numFmtId="0" fontId="26" fillId="2" borderId="0" xfId="0" applyFont="1" applyFill="1"/>
    <xf numFmtId="0" fontId="26" fillId="2" borderId="0" xfId="0" applyFont="1" applyFill="1" applyAlignment="1">
      <alignment horizontal="right"/>
    </xf>
    <xf numFmtId="49" fontId="26" fillId="2" borderId="0" xfId="0" applyNumberFormat="1" applyFont="1" applyFill="1" applyAlignment="1">
      <alignment horizontal="right"/>
    </xf>
    <xf numFmtId="0" fontId="30" fillId="2" borderId="0" xfId="0" applyFont="1" applyFill="1"/>
    <xf numFmtId="0" fontId="26" fillId="2" borderId="0" xfId="0" applyFont="1" applyFill="1" applyBorder="1" applyAlignment="1">
      <alignment horizontal="center"/>
    </xf>
    <xf numFmtId="166" fontId="26" fillId="2" borderId="0" xfId="0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right"/>
    </xf>
    <xf numFmtId="0" fontId="45" fillId="2" borderId="0" xfId="0" applyFont="1" applyFill="1"/>
    <xf numFmtId="0" fontId="8" fillId="2" borderId="0" xfId="0" applyFont="1" applyFill="1" applyBorder="1" applyAlignment="1">
      <alignment horizontal="right"/>
    </xf>
    <xf numFmtId="172" fontId="6" fillId="2" borderId="0" xfId="0" applyNumberFormat="1" applyFont="1" applyFill="1"/>
    <xf numFmtId="0" fontId="8" fillId="2" borderId="5" xfId="0" applyFont="1" applyFill="1" applyBorder="1"/>
    <xf numFmtId="0" fontId="8" fillId="2" borderId="6" xfId="0" applyFont="1" applyFill="1" applyBorder="1"/>
    <xf numFmtId="3" fontId="8" fillId="2" borderId="6" xfId="0" applyNumberFormat="1" applyFont="1" applyFill="1" applyBorder="1"/>
    <xf numFmtId="4" fontId="8" fillId="2" borderId="47" xfId="0" applyNumberFormat="1" applyFont="1" applyFill="1" applyBorder="1"/>
    <xf numFmtId="0" fontId="8" fillId="0" borderId="92" xfId="4" applyBorder="1"/>
    <xf numFmtId="164" fontId="2" fillId="3" borderId="41" xfId="0" applyNumberFormat="1" applyFont="1" applyFill="1" applyBorder="1"/>
    <xf numFmtId="164" fontId="2" fillId="0" borderId="0" xfId="0" applyNumberFormat="1" applyFont="1" applyFill="1" applyBorder="1"/>
    <xf numFmtId="3" fontId="18" fillId="0" borderId="0" xfId="0" applyNumberFormat="1" applyFont="1" applyFill="1" applyBorder="1"/>
    <xf numFmtId="3" fontId="7" fillId="0" borderId="0" xfId="0" applyNumberFormat="1" applyFont="1"/>
    <xf numFmtId="0" fontId="7" fillId="3" borderId="56" xfId="4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right"/>
    </xf>
    <xf numFmtId="0" fontId="46" fillId="0" borderId="0" xfId="0" applyFont="1" applyAlignment="1">
      <alignment horizontal="left"/>
    </xf>
    <xf numFmtId="0" fontId="8" fillId="0" borderId="0" xfId="4" applyFont="1"/>
    <xf numFmtId="0" fontId="8" fillId="3" borderId="1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/>
    </xf>
    <xf numFmtId="0" fontId="8" fillId="3" borderId="56" xfId="4" applyFont="1" applyFill="1" applyBorder="1"/>
    <xf numFmtId="0" fontId="8" fillId="2" borderId="26" xfId="0" applyFont="1" applyFill="1" applyBorder="1" applyAlignment="1">
      <alignment wrapText="1"/>
    </xf>
    <xf numFmtId="0" fontId="24" fillId="2" borderId="72" xfId="0" applyFont="1" applyFill="1" applyBorder="1" applyAlignment="1">
      <alignment wrapText="1"/>
    </xf>
    <xf numFmtId="0" fontId="8" fillId="5" borderId="64" xfId="4" applyFont="1" applyFill="1" applyBorder="1"/>
    <xf numFmtId="0" fontId="8" fillId="5" borderId="20" xfId="4" applyFont="1" applyFill="1" applyBorder="1"/>
    <xf numFmtId="0" fontId="8" fillId="3" borderId="74" xfId="4" applyFont="1" applyFill="1" applyBorder="1"/>
    <xf numFmtId="4" fontId="7" fillId="0" borderId="48" xfId="4" applyNumberFormat="1" applyFont="1" applyBorder="1" applyAlignment="1">
      <alignment horizontal="right"/>
    </xf>
    <xf numFmtId="3" fontId="7" fillId="0" borderId="48" xfId="4" applyNumberFormat="1" applyFont="1" applyBorder="1"/>
    <xf numFmtId="0" fontId="6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3" fontId="10" fillId="2" borderId="35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wrapText="1"/>
    </xf>
    <xf numFmtId="0" fontId="2" fillId="3" borderId="1" xfId="0" applyFont="1" applyFill="1" applyBorder="1"/>
    <xf numFmtId="0" fontId="2" fillId="3" borderId="3" xfId="0" applyFont="1" applyFill="1" applyBorder="1"/>
    <xf numFmtId="0" fontId="1" fillId="3" borderId="41" xfId="0" applyFont="1" applyFill="1" applyBorder="1" applyAlignment="1">
      <alignment shrinkToFit="1"/>
    </xf>
    <xf numFmtId="1" fontId="28" fillId="0" borderId="50" xfId="0" applyNumberFormat="1" applyFont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7" fillId="2" borderId="137" xfId="4" applyFont="1" applyFill="1" applyBorder="1" applyAlignment="1">
      <alignment horizontal="left"/>
    </xf>
    <xf numFmtId="0" fontId="7" fillId="2" borderId="72" xfId="4" applyFont="1" applyFill="1" applyBorder="1" applyAlignment="1">
      <alignment horizontal="left"/>
    </xf>
    <xf numFmtId="0" fontId="7" fillId="2" borderId="137" xfId="4" applyFont="1" applyFill="1" applyBorder="1"/>
    <xf numFmtId="0" fontId="13" fillId="0" borderId="72" xfId="0" applyFont="1" applyBorder="1"/>
    <xf numFmtId="0" fontId="8" fillId="3" borderId="51" xfId="4" applyFill="1" applyBorder="1" applyAlignment="1">
      <alignment horizontal="center" vertical="center"/>
    </xf>
    <xf numFmtId="0" fontId="8" fillId="3" borderId="2" xfId="4" applyFill="1" applyBorder="1" applyAlignment="1">
      <alignment horizontal="center" vertical="center"/>
    </xf>
    <xf numFmtId="0" fontId="8" fillId="3" borderId="52" xfId="4" applyFill="1" applyBorder="1" applyAlignment="1">
      <alignment horizontal="center"/>
    </xf>
    <xf numFmtId="0" fontId="8" fillId="3" borderId="31" xfId="4" applyFill="1" applyBorder="1" applyAlignment="1">
      <alignment horizontal="center"/>
    </xf>
    <xf numFmtId="0" fontId="7" fillId="2" borderId="129" xfId="4" applyFont="1" applyFill="1" applyBorder="1"/>
    <xf numFmtId="0" fontId="13" fillId="0" borderId="136" xfId="0" applyFont="1" applyBorder="1"/>
    <xf numFmtId="0" fontId="7" fillId="2" borderId="137" xfId="4" applyFont="1" applyFill="1" applyBorder="1" applyAlignment="1">
      <alignment horizontal="left" wrapText="1"/>
    </xf>
    <xf numFmtId="0" fontId="7" fillId="2" borderId="72" xfId="4" applyFont="1" applyFill="1" applyBorder="1" applyAlignment="1">
      <alignment horizontal="left" wrapText="1"/>
    </xf>
    <xf numFmtId="0" fontId="7" fillId="2" borderId="137" xfId="4" applyFont="1" applyFill="1" applyBorder="1" applyAlignment="1">
      <alignment wrapText="1"/>
    </xf>
    <xf numFmtId="0" fontId="13" fillId="2" borderId="72" xfId="0" applyFont="1" applyFill="1" applyBorder="1" applyAlignment="1">
      <alignment wrapText="1"/>
    </xf>
    <xf numFmtId="0" fontId="7" fillId="3" borderId="1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8" fillId="2" borderId="72" xfId="4" applyFill="1" applyBorder="1" applyAlignment="1">
      <alignment horizontal="left"/>
    </xf>
    <xf numFmtId="0" fontId="6" fillId="0" borderId="59" xfId="4" applyFont="1" applyBorder="1" applyAlignment="1">
      <alignment horizontal="left"/>
    </xf>
    <xf numFmtId="0" fontId="7" fillId="3" borderId="82" xfId="4" applyFont="1" applyFill="1" applyBorder="1" applyAlignment="1">
      <alignment horizontal="left"/>
    </xf>
    <xf numFmtId="0" fontId="7" fillId="3" borderId="56" xfId="4" applyFont="1" applyFill="1" applyBorder="1" applyAlignment="1">
      <alignment horizontal="left"/>
    </xf>
    <xf numFmtId="0" fontId="5" fillId="3" borderId="149" xfId="4" applyFont="1" applyFill="1" applyBorder="1" applyAlignment="1">
      <alignment horizontal="center"/>
    </xf>
    <xf numFmtId="0" fontId="5" fillId="3" borderId="105" xfId="4" applyFont="1" applyFill="1" applyBorder="1" applyAlignment="1">
      <alignment horizontal="center"/>
    </xf>
    <xf numFmtId="0" fontId="6" fillId="2" borderId="18" xfId="4" applyFont="1" applyFill="1" applyBorder="1" applyAlignment="1">
      <alignment horizontal="left"/>
    </xf>
    <xf numFmtId="49" fontId="4" fillId="3" borderId="89" xfId="4" applyNumberFormat="1" applyFont="1" applyFill="1" applyBorder="1" applyAlignment="1">
      <alignment horizontal="left" vertical="center"/>
    </xf>
    <xf numFmtId="49" fontId="4" fillId="3" borderId="96" xfId="4" applyNumberFormat="1" applyFont="1" applyFill="1" applyBorder="1" applyAlignment="1">
      <alignment horizontal="left" vertical="center"/>
    </xf>
    <xf numFmtId="49" fontId="4" fillId="3" borderId="90" xfId="4" applyNumberFormat="1" applyFont="1" applyFill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3" fontId="4" fillId="3" borderId="91" xfId="4" applyNumberFormat="1" applyFont="1" applyFill="1" applyBorder="1" applyAlignment="1">
      <alignment horizontal="center" vertical="center" wrapText="1"/>
    </xf>
    <xf numFmtId="3" fontId="4" fillId="3" borderId="98" xfId="4" applyNumberFormat="1" applyFont="1" applyFill="1" applyBorder="1" applyAlignment="1">
      <alignment horizontal="center" vertical="center" wrapText="1"/>
    </xf>
    <xf numFmtId="3" fontId="4" fillId="3" borderId="95" xfId="4" applyNumberFormat="1" applyFont="1" applyFill="1" applyBorder="1" applyAlignment="1">
      <alignment horizontal="center" vertical="center" wrapText="1"/>
    </xf>
    <xf numFmtId="3" fontId="4" fillId="3" borderId="100" xfId="4" applyNumberFormat="1" applyFont="1" applyFill="1" applyBorder="1" applyAlignment="1">
      <alignment horizontal="center" vertical="center" wrapText="1"/>
    </xf>
    <xf numFmtId="0" fontId="7" fillId="3" borderId="87" xfId="4" applyFont="1" applyFill="1" applyBorder="1" applyAlignment="1">
      <alignment horizontal="center" vertical="center"/>
    </xf>
    <xf numFmtId="0" fontId="7" fillId="3" borderId="69" xfId="4" applyFont="1" applyFill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7" fillId="3" borderId="69" xfId="4" applyFont="1" applyFill="1" applyBorder="1" applyAlignment="1">
      <alignment horizontal="center"/>
    </xf>
    <xf numFmtId="0" fontId="7" fillId="3" borderId="88" xfId="4" applyFont="1" applyFill="1" applyBorder="1" applyAlignment="1">
      <alignment horizontal="center"/>
    </xf>
    <xf numFmtId="0" fontId="8" fillId="0" borderId="0" xfId="4" applyAlignment="1">
      <alignment horizontal="right" shrinkToFit="1"/>
    </xf>
    <xf numFmtId="0" fontId="7" fillId="3" borderId="88" xfId="4" applyFont="1" applyFill="1" applyBorder="1" applyAlignment="1">
      <alignment horizontal="center" vertical="center"/>
    </xf>
    <xf numFmtId="3" fontId="4" fillId="3" borderId="72" xfId="4" applyNumberFormat="1" applyFont="1" applyFill="1" applyBorder="1" applyAlignment="1">
      <alignment horizontal="center" vertical="center" wrapText="1"/>
    </xf>
    <xf numFmtId="3" fontId="4" fillId="3" borderId="31" xfId="4" applyNumberFormat="1" applyFont="1" applyFill="1" applyBorder="1" applyAlignment="1">
      <alignment horizontal="center" vertical="center" wrapText="1"/>
    </xf>
    <xf numFmtId="3" fontId="4" fillId="3" borderId="93" xfId="4" applyNumberFormat="1" applyFont="1" applyFill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 wrapText="1"/>
    </xf>
    <xf numFmtId="3" fontId="4" fillId="3" borderId="94" xfId="4" applyNumberFormat="1" applyFont="1" applyFill="1" applyBorder="1" applyAlignment="1">
      <alignment horizontal="center" vertical="center" wrapText="1"/>
    </xf>
    <xf numFmtId="3" fontId="5" fillId="3" borderId="95" xfId="4" applyNumberFormat="1" applyFont="1" applyFill="1" applyBorder="1" applyAlignment="1">
      <alignment horizontal="center" vertical="center" wrapText="1"/>
    </xf>
    <xf numFmtId="3" fontId="5" fillId="3" borderId="100" xfId="4" applyNumberFormat="1" applyFont="1" applyFill="1" applyBorder="1" applyAlignment="1">
      <alignment horizontal="center" vertical="center" wrapText="1"/>
    </xf>
    <xf numFmtId="3" fontId="5" fillId="3" borderId="93" xfId="4" applyNumberFormat="1" applyFont="1" applyFill="1" applyBorder="1" applyAlignment="1">
      <alignment horizontal="center" vertical="center" wrapText="1"/>
    </xf>
    <xf numFmtId="3" fontId="5" fillId="3" borderId="99" xfId="4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49" fontId="4" fillId="3" borderId="92" xfId="4" applyNumberFormat="1" applyFont="1" applyFill="1" applyBorder="1" applyAlignment="1">
      <alignment horizontal="left" vertical="center"/>
    </xf>
    <xf numFmtId="49" fontId="4" fillId="3" borderId="153" xfId="4" applyNumberFormat="1" applyFont="1" applyFill="1" applyBorder="1" applyAlignment="1">
      <alignment horizontal="left" vertical="center"/>
    </xf>
    <xf numFmtId="49" fontId="4" fillId="3" borderId="112" xfId="4" applyNumberFormat="1" applyFont="1" applyFill="1" applyBorder="1" applyAlignment="1">
      <alignment horizontal="center" vertical="center"/>
    </xf>
    <xf numFmtId="0" fontId="13" fillId="0" borderId="15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3" fontId="5" fillId="3" borderId="72" xfId="4" applyNumberFormat="1" applyFont="1" applyFill="1" applyBorder="1" applyAlignment="1">
      <alignment horizontal="center" vertical="center" wrapText="1"/>
    </xf>
    <xf numFmtId="3" fontId="5" fillId="3" borderId="31" xfId="4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72" fontId="7" fillId="3" borderId="7" xfId="0" applyNumberFormat="1" applyFont="1" applyFill="1" applyBorder="1" applyAlignment="1">
      <alignment horizontal="right"/>
    </xf>
    <xf numFmtId="172" fontId="7" fillId="0" borderId="0" xfId="0" applyNumberFormat="1" applyFont="1"/>
    <xf numFmtId="172" fontId="17" fillId="0" borderId="0" xfId="0" applyNumberFormat="1" applyFont="1"/>
    <xf numFmtId="3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172" fontId="7" fillId="2" borderId="0" xfId="0" applyNumberFormat="1" applyFont="1" applyFill="1"/>
    <xf numFmtId="172" fontId="17" fillId="2" borderId="0" xfId="0" applyNumberFormat="1" applyFont="1" applyFill="1"/>
    <xf numFmtId="0" fontId="33" fillId="0" borderId="0" xfId="0" applyFont="1" applyAlignment="1">
      <alignment horizontal="left" vertical="center" wrapText="1"/>
    </xf>
    <xf numFmtId="172" fontId="24" fillId="2" borderId="0" xfId="0" applyNumberFormat="1" applyFont="1" applyFill="1"/>
    <xf numFmtId="172" fontId="34" fillId="2" borderId="0" xfId="0" applyNumberFormat="1" applyFont="1" applyFill="1"/>
    <xf numFmtId="0" fontId="24" fillId="2" borderId="0" xfId="0" applyFont="1" applyFill="1" applyAlignment="1">
      <alignment horizontal="left" wrapText="1"/>
    </xf>
    <xf numFmtId="172" fontId="6" fillId="2" borderId="0" xfId="0" applyNumberFormat="1" applyFont="1" applyFill="1"/>
    <xf numFmtId="172" fontId="0" fillId="2" borderId="0" xfId="0" applyNumberFormat="1" applyFill="1"/>
    <xf numFmtId="0" fontId="6" fillId="2" borderId="0" xfId="0" applyFont="1" applyFill="1" applyAlignment="1">
      <alignment horizontal="left" wrapText="1"/>
    </xf>
    <xf numFmtId="172" fontId="6" fillId="2" borderId="0" xfId="0" applyNumberFormat="1" applyFont="1" applyFill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/>
    <xf numFmtId="0" fontId="7" fillId="3" borderId="51" xfId="0" applyFont="1" applyFill="1" applyBorder="1" applyAlignment="1">
      <alignment horizontal="left"/>
    </xf>
    <xf numFmtId="0" fontId="7" fillId="3" borderId="135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6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horizontal="justify" wrapText="1"/>
    </xf>
    <xf numFmtId="0" fontId="32" fillId="3" borderId="130" xfId="8" applyFon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0" fontId="2" fillId="0" borderId="82" xfId="4" applyFont="1" applyBorder="1" applyAlignment="1">
      <alignment horizontal="center"/>
    </xf>
    <xf numFmtId="0" fontId="2" fillId="0" borderId="56" xfId="4" applyFont="1" applyBorder="1" applyAlignment="1">
      <alignment horizontal="center"/>
    </xf>
  </cellXfs>
  <cellStyles count="9">
    <cellStyle name="Čárka 2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2 2 2" xfId="6" xr:uid="{00000000-0005-0000-0000-000004000000}"/>
    <cellStyle name="Normální 3" xfId="3" xr:uid="{00000000-0005-0000-0000-000005000000}"/>
    <cellStyle name="Normální 4" xfId="5" xr:uid="{00000000-0005-0000-0000-000006000000}"/>
    <cellStyle name="Normální 6" xfId="7" xr:uid="{00000000-0005-0000-0000-000007000000}"/>
    <cellStyle name="normální_Požadavky na investice 2005 a plnění 2004-úprava" xfId="8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2)%20-%20P&#345;&#237;jmy.xlsx" TargetMode="External"/><Relationship Id="rId1" Type="http://schemas.openxmlformats.org/officeDocument/2006/relationships/externalLinkPath" Target="Usnesen&#237;_p&#345;&#237;loha%20&#269;.%2002)%20-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3c)%20-%20PO%20-%20bez%20transf.podilu.xlsx" TargetMode="External"/><Relationship Id="rId1" Type="http://schemas.openxmlformats.org/officeDocument/2006/relationships/externalLinkPath" Target="Usnesen&#237;_p&#345;&#237;loha%20&#269;.%2003c)%20-%20PO%20-%20bez%20transf.podilu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c)%20P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d)%20-%20Fond%20soci&#225;ln&#237;ch%20pot&#345;eb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d)%20Fond%20soci&#225;ln&#237;ch%20pot&#345;eb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e)%20-%20Fond%20-%20vod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I.%20verze/x.%20-%20Rozpo&#269;et%20OK%202022%20-%2003e)%20Fond%20-%20voda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ROK%2025.11.2024\Usnesen&#237;_p&#345;&#237;loha%20&#269;.%2003f)%20-%20&#250;&#269;elov&#233;%20dotace%20ze%20SR.xlsx" TargetMode="External"/><Relationship Id="rId1" Type="http://schemas.openxmlformats.org/officeDocument/2006/relationships/externalLinkPath" Target="Usnesen&#237;_p&#345;&#237;loha%20&#269;.%2003f)%20-%20&#250;&#269;elov&#233;%20dotace%20ze%20S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I.%20verze/x.%20-%20Rozpo&#269;et%20OK%202021%20-%2005)%20Investic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)%20-%20Rekapitulac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4)%20Financov&#225;n&#23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2)%20P&#345;&#237;jmy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ROK%2025.11.2024\Usnesen&#237;_p&#345;&#237;loha%20&#269;.%2004)%20-%20Financov&#225;n&#237;.xlsx" TargetMode="External"/><Relationship Id="rId1" Type="http://schemas.openxmlformats.org/officeDocument/2006/relationships/externalLinkPath" Target="Usnesen&#237;_p&#345;&#237;loha%20&#269;.%2004)%20-%20Financov&#225;n&#23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investice%20a%20opravy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Nov&#233;%20investice%20a%20oprav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n&#225;kup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Dota&#269;n&#237;%20projekty%20-%20neinvesti&#269;n&#237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Dota&#269;n&#237;%20projekty%20-%20investi&#269;n&#237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Energetik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ROK%2025.11.2024%20-%20upraveno\Usnesen&#237;_p&#345;&#237;loha%20&#269;.%2003a)%20-%20V&#253;daje.xlsx" TargetMode="External"/><Relationship Id="rId1" Type="http://schemas.openxmlformats.org/officeDocument/2006/relationships/externalLinkPath" Target="/OdRF/Rozpo&#269;et%20Olomouck&#233;ho%20kraje/2025/ROK%2025.11.2024%20-%20upraveno/Usnesen&#237;_p&#345;&#237;loha%20&#269;.%2003a)%20-%20V&#253;daj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a)%20V&#253;daje%20odbor&#36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ROK%2025.11.2024\Usnesen&#237;_p&#345;&#237;loha%20&#269;.%2003b)%20-%20Dota&#269;n&#237;%20tituly.xlsx" TargetMode="External"/><Relationship Id="rId1" Type="http://schemas.openxmlformats.org/officeDocument/2006/relationships/externalLinkPath" Target="/OdRF/Rozpo&#269;et%20Olomouck&#233;ho%20kraje/2025/ROK%2025.11.2024/Usnesen&#237;_p&#345;&#237;loha%20&#269;.%2003b)%20-%20Dota&#269;n&#237;%20titul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b)%20Dota&#269;n&#237;%20titul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ROK%2025.11.2024%20-%20upraveno\Usnesen&#237;_p&#345;&#237;loha%20&#269;.%2003b)%20-%20Dota&#269;n&#237;%20tituly%20-%20upraveno.xlsx" TargetMode="External"/><Relationship Id="rId1" Type="http://schemas.openxmlformats.org/officeDocument/2006/relationships/externalLinkPath" Target="Usnesen&#237;_p&#345;&#237;loha%20&#269;.%2003b)%20-%20Dota&#269;n&#237;%20tituly%20-%20uprav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) Příjmy"/>
      <sheetName val="b) daně"/>
      <sheetName val="c) odbory"/>
      <sheetName val="odbory1"/>
      <sheetName val="d) PO - odvody 95%"/>
      <sheetName val="predikce"/>
    </sheetNames>
    <sheetDataSet>
      <sheetData sheetId="0">
        <row r="12">
          <cell r="F12">
            <v>7700000</v>
          </cell>
        </row>
        <row r="13">
          <cell r="F13">
            <v>1370</v>
          </cell>
        </row>
        <row r="14">
          <cell r="F14">
            <v>265</v>
          </cell>
        </row>
        <row r="15">
          <cell r="F15">
            <v>150</v>
          </cell>
        </row>
        <row r="16">
          <cell r="F16">
            <v>256970</v>
          </cell>
        </row>
        <row r="17">
          <cell r="F17">
            <v>28</v>
          </cell>
        </row>
        <row r="18">
          <cell r="F18">
            <v>223.3</v>
          </cell>
        </row>
        <row r="19">
          <cell r="F19">
            <v>39570</v>
          </cell>
        </row>
        <row r="20">
          <cell r="F20">
            <v>120</v>
          </cell>
        </row>
        <row r="21">
          <cell r="F21">
            <v>1600</v>
          </cell>
        </row>
        <row r="22">
          <cell r="F22">
            <v>2310.2999999999997</v>
          </cell>
        </row>
        <row r="23">
          <cell r="F23">
            <v>50</v>
          </cell>
        </row>
        <row r="24">
          <cell r="F24">
            <v>181</v>
          </cell>
        </row>
        <row r="25">
          <cell r="F25">
            <v>710.30000000000007</v>
          </cell>
        </row>
        <row r="26">
          <cell r="F26">
            <v>0</v>
          </cell>
        </row>
        <row r="27">
          <cell r="F27">
            <v>500</v>
          </cell>
        </row>
        <row r="28">
          <cell r="F28">
            <v>333</v>
          </cell>
        </row>
        <row r="29">
          <cell r="F29">
            <v>24223</v>
          </cell>
        </row>
        <row r="30">
          <cell r="F30">
            <v>200</v>
          </cell>
        </row>
        <row r="31">
          <cell r="F31">
            <v>4000</v>
          </cell>
        </row>
        <row r="32">
          <cell r="F32">
            <v>200</v>
          </cell>
        </row>
        <row r="33">
          <cell r="F33">
            <v>46222.400000000001</v>
          </cell>
        </row>
        <row r="34">
          <cell r="F34">
            <v>173705.7</v>
          </cell>
        </row>
        <row r="35">
          <cell r="F35">
            <v>195</v>
          </cell>
        </row>
        <row r="36">
          <cell r="F36">
            <v>123000</v>
          </cell>
        </row>
        <row r="37">
          <cell r="F37">
            <v>102000</v>
          </cell>
        </row>
        <row r="47">
          <cell r="F47">
            <v>15838</v>
          </cell>
        </row>
        <row r="65">
          <cell r="F65">
            <v>30000</v>
          </cell>
        </row>
        <row r="81">
          <cell r="F81">
            <v>15003670</v>
          </cell>
        </row>
      </sheetData>
      <sheetData sheetId="1">
        <row r="10">
          <cell r="C10">
            <v>1100000</v>
          </cell>
          <cell r="D10">
            <v>1100000</v>
          </cell>
          <cell r="J10">
            <v>1400000</v>
          </cell>
        </row>
        <row r="11">
          <cell r="C11">
            <v>70000</v>
          </cell>
          <cell r="D11">
            <v>70000</v>
          </cell>
          <cell r="J11">
            <v>100000</v>
          </cell>
        </row>
        <row r="12">
          <cell r="C12">
            <v>230000</v>
          </cell>
          <cell r="D12">
            <v>230000</v>
          </cell>
          <cell r="J12">
            <v>200000</v>
          </cell>
        </row>
        <row r="13">
          <cell r="C13">
            <v>2000000</v>
          </cell>
          <cell r="D13">
            <v>2000000</v>
          </cell>
          <cell r="J13">
            <v>2000000</v>
          </cell>
        </row>
        <row r="14">
          <cell r="C14">
            <v>3700000</v>
          </cell>
          <cell r="D14">
            <v>3700000</v>
          </cell>
          <cell r="J14">
            <v>4000000</v>
          </cell>
        </row>
      </sheetData>
      <sheetData sheetId="2">
        <row r="8">
          <cell r="D8">
            <v>1330</v>
          </cell>
          <cell r="E8">
            <v>1330</v>
          </cell>
          <cell r="F8">
            <v>1370</v>
          </cell>
        </row>
        <row r="9">
          <cell r="D9">
            <v>265</v>
          </cell>
          <cell r="E9">
            <v>265</v>
          </cell>
          <cell r="F9">
            <v>265</v>
          </cell>
        </row>
        <row r="10">
          <cell r="D10">
            <v>100</v>
          </cell>
          <cell r="E10">
            <v>100</v>
          </cell>
          <cell r="F10">
            <v>150</v>
          </cell>
        </row>
        <row r="11">
          <cell r="D11">
            <v>246000</v>
          </cell>
          <cell r="E11">
            <v>267965</v>
          </cell>
          <cell r="F11">
            <v>256970</v>
          </cell>
        </row>
        <row r="12">
          <cell r="D12">
            <v>25</v>
          </cell>
          <cell r="E12">
            <v>25</v>
          </cell>
          <cell r="F12">
            <v>28</v>
          </cell>
        </row>
        <row r="13">
          <cell r="D13">
            <v>221.3</v>
          </cell>
          <cell r="E13">
            <v>221.3</v>
          </cell>
          <cell r="F13">
            <v>223.3</v>
          </cell>
        </row>
        <row r="14">
          <cell r="D14">
            <v>37853</v>
          </cell>
          <cell r="E14">
            <v>39522</v>
          </cell>
          <cell r="F14">
            <v>39570</v>
          </cell>
        </row>
        <row r="15">
          <cell r="D15">
            <v>120</v>
          </cell>
          <cell r="E15">
            <v>120</v>
          </cell>
          <cell r="F15">
            <v>120</v>
          </cell>
        </row>
        <row r="16">
          <cell r="D16">
            <v>1500</v>
          </cell>
          <cell r="E16">
            <v>1500</v>
          </cell>
          <cell r="F16">
            <v>1600</v>
          </cell>
        </row>
        <row r="17">
          <cell r="D17">
            <v>2310.2999999999997</v>
          </cell>
          <cell r="E17">
            <v>2340.1999999999998</v>
          </cell>
          <cell r="F17">
            <v>2310.2999999999997</v>
          </cell>
        </row>
        <row r="18">
          <cell r="D18">
            <v>100</v>
          </cell>
          <cell r="E18">
            <v>100</v>
          </cell>
          <cell r="F18">
            <v>50</v>
          </cell>
        </row>
        <row r="19">
          <cell r="F19">
            <v>181</v>
          </cell>
        </row>
        <row r="20">
          <cell r="D20">
            <v>815.30000000000007</v>
          </cell>
          <cell r="E20">
            <v>816.2</v>
          </cell>
          <cell r="F20">
            <v>710.30000000000007</v>
          </cell>
        </row>
        <row r="21">
          <cell r="D21">
            <v>5</v>
          </cell>
          <cell r="E21">
            <v>5</v>
          </cell>
          <cell r="F21">
            <v>0</v>
          </cell>
        </row>
        <row r="22">
          <cell r="F22">
            <v>500</v>
          </cell>
        </row>
        <row r="23">
          <cell r="F23">
            <v>333</v>
          </cell>
        </row>
        <row r="24">
          <cell r="E24">
            <v>5000</v>
          </cell>
          <cell r="F24">
            <v>24223</v>
          </cell>
        </row>
        <row r="25">
          <cell r="D25">
            <v>150</v>
          </cell>
          <cell r="E25">
            <v>150</v>
          </cell>
          <cell r="F25">
            <v>200</v>
          </cell>
        </row>
        <row r="26">
          <cell r="D26">
            <v>7000</v>
          </cell>
          <cell r="E26">
            <v>7000</v>
          </cell>
          <cell r="F26">
            <v>4000</v>
          </cell>
        </row>
        <row r="27">
          <cell r="D27">
            <v>90</v>
          </cell>
          <cell r="E27">
            <v>90</v>
          </cell>
          <cell r="F27">
            <v>200</v>
          </cell>
        </row>
        <row r="28">
          <cell r="D28">
            <v>30164.1</v>
          </cell>
          <cell r="E28">
            <v>30164.1</v>
          </cell>
          <cell r="F28">
            <v>46222.400000000001</v>
          </cell>
        </row>
        <row r="29">
          <cell r="E29">
            <v>715</v>
          </cell>
          <cell r="F29">
            <v>195</v>
          </cell>
        </row>
        <row r="30">
          <cell r="D30">
            <v>130000</v>
          </cell>
          <cell r="E30">
            <v>131856</v>
          </cell>
          <cell r="F30">
            <v>123000</v>
          </cell>
        </row>
        <row r="31">
          <cell r="D31">
            <v>125000</v>
          </cell>
          <cell r="E31">
            <v>127136</v>
          </cell>
          <cell r="F31">
            <v>102000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 refreshError="1"/>
      <sheetData sheetId="1">
        <row r="78">
          <cell r="E78">
            <v>522551</v>
          </cell>
          <cell r="H78">
            <v>579514</v>
          </cell>
        </row>
        <row r="79">
          <cell r="E79">
            <v>1051286</v>
          </cell>
          <cell r="H79">
            <v>1095540</v>
          </cell>
        </row>
        <row r="80">
          <cell r="E80">
            <v>366351</v>
          </cell>
          <cell r="H80">
            <v>394406</v>
          </cell>
        </row>
        <row r="81">
          <cell r="E81">
            <v>11503</v>
          </cell>
          <cell r="H81">
            <v>45502</v>
          </cell>
        </row>
        <row r="82">
          <cell r="E82">
            <v>2267</v>
          </cell>
          <cell r="H82">
            <v>2328</v>
          </cell>
        </row>
        <row r="83">
          <cell r="E83">
            <v>280</v>
          </cell>
          <cell r="H83">
            <v>280</v>
          </cell>
        </row>
        <row r="84">
          <cell r="E84">
            <v>132851</v>
          </cell>
          <cell r="H84">
            <v>114124</v>
          </cell>
        </row>
        <row r="85">
          <cell r="E85">
            <v>119766</v>
          </cell>
          <cell r="H85">
            <v>107323</v>
          </cell>
        </row>
        <row r="86">
          <cell r="E86">
            <v>54877</v>
          </cell>
          <cell r="H86">
            <v>52595</v>
          </cell>
        </row>
        <row r="87">
          <cell r="H87">
            <v>4525</v>
          </cell>
        </row>
        <row r="88">
          <cell r="E88">
            <v>20</v>
          </cell>
          <cell r="H88">
            <v>20</v>
          </cell>
        </row>
        <row r="89">
          <cell r="E89">
            <v>140000</v>
          </cell>
          <cell r="H89">
            <v>70000</v>
          </cell>
        </row>
        <row r="91">
          <cell r="E91">
            <v>865</v>
          </cell>
          <cell r="H91">
            <v>1045</v>
          </cell>
        </row>
        <row r="92">
          <cell r="E92">
            <v>2027000</v>
          </cell>
          <cell r="H92">
            <v>2246000</v>
          </cell>
        </row>
      </sheetData>
      <sheetData sheetId="2">
        <row r="15">
          <cell r="E15">
            <v>30000</v>
          </cell>
          <cell r="H15">
            <v>8911</v>
          </cell>
          <cell r="I15">
            <v>30000</v>
          </cell>
        </row>
        <row r="16">
          <cell r="E16">
            <v>60000</v>
          </cell>
          <cell r="H16">
            <v>59758</v>
          </cell>
          <cell r="I16">
            <v>20000</v>
          </cell>
        </row>
        <row r="17">
          <cell r="E17">
            <v>0</v>
          </cell>
          <cell r="H17">
            <v>0</v>
          </cell>
          <cell r="I17">
            <v>0</v>
          </cell>
        </row>
        <row r="18">
          <cell r="E18">
            <v>50000</v>
          </cell>
          <cell r="H18">
            <v>40268</v>
          </cell>
          <cell r="I18">
            <v>20000</v>
          </cell>
        </row>
      </sheetData>
      <sheetData sheetId="3">
        <row r="12">
          <cell r="C12">
            <v>275519</v>
          </cell>
          <cell r="D12">
            <v>220003</v>
          </cell>
          <cell r="E12">
            <v>219152</v>
          </cell>
          <cell r="F12">
            <v>232061</v>
          </cell>
        </row>
        <row r="13">
          <cell r="C13">
            <v>1399</v>
          </cell>
          <cell r="D13">
            <v>1931</v>
          </cell>
          <cell r="E13">
            <v>1971</v>
          </cell>
          <cell r="F13">
            <v>2057</v>
          </cell>
        </row>
        <row r="14">
          <cell r="C14">
            <v>74889</v>
          </cell>
          <cell r="D14">
            <v>90909</v>
          </cell>
          <cell r="E14">
            <v>90909</v>
          </cell>
          <cell r="F14">
            <v>100118</v>
          </cell>
        </row>
        <row r="15">
          <cell r="C15">
            <v>222</v>
          </cell>
          <cell r="D15">
            <v>750</v>
          </cell>
          <cell r="E15">
            <v>5492</v>
          </cell>
          <cell r="F15">
            <v>5008</v>
          </cell>
        </row>
        <row r="16">
          <cell r="D16">
            <v>76945</v>
          </cell>
          <cell r="E16">
            <v>76945</v>
          </cell>
          <cell r="F16">
            <v>76500</v>
          </cell>
        </row>
        <row r="17">
          <cell r="D17">
            <v>71099</v>
          </cell>
          <cell r="E17">
            <v>71099</v>
          </cell>
          <cell r="F17">
            <v>69618</v>
          </cell>
        </row>
        <row r="18">
          <cell r="D18">
            <v>47162</v>
          </cell>
          <cell r="E18">
            <v>47404</v>
          </cell>
          <cell r="F18">
            <v>45985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C12">
            <v>156471</v>
          </cell>
          <cell r="D12">
            <v>7898</v>
          </cell>
          <cell r="E12">
            <v>3983</v>
          </cell>
          <cell r="F12">
            <v>23296</v>
          </cell>
        </row>
        <row r="13">
          <cell r="D13">
            <v>308788</v>
          </cell>
          <cell r="E13">
            <v>307098</v>
          </cell>
          <cell r="F13">
            <v>285919</v>
          </cell>
        </row>
        <row r="14">
          <cell r="D14">
            <v>56420</v>
          </cell>
          <cell r="E14">
            <v>56420</v>
          </cell>
          <cell r="F14">
            <v>60836</v>
          </cell>
        </row>
        <row r="15">
          <cell r="D15">
            <v>0</v>
          </cell>
          <cell r="E15">
            <v>1520</v>
          </cell>
          <cell r="F15">
            <v>0</v>
          </cell>
        </row>
        <row r="16">
          <cell r="D16">
            <v>32406</v>
          </cell>
          <cell r="E16">
            <v>32406</v>
          </cell>
          <cell r="F16">
            <v>14675</v>
          </cell>
        </row>
        <row r="17">
          <cell r="D17">
            <v>25017</v>
          </cell>
          <cell r="E17">
            <v>25017</v>
          </cell>
          <cell r="F17">
            <v>12603</v>
          </cell>
        </row>
        <row r="18">
          <cell r="D18">
            <v>969</v>
          </cell>
          <cell r="E18">
            <v>969</v>
          </cell>
          <cell r="F18">
            <v>366</v>
          </cell>
        </row>
        <row r="19">
          <cell r="F19">
            <v>4525</v>
          </cell>
        </row>
      </sheetData>
      <sheetData sheetId="10" refreshError="1"/>
      <sheetData sheetId="11">
        <row r="12">
          <cell r="C12">
            <v>232977</v>
          </cell>
          <cell r="D12">
            <v>305477</v>
          </cell>
          <cell r="E12">
            <v>257977</v>
          </cell>
        </row>
        <row r="13">
          <cell r="C13">
            <v>291756</v>
          </cell>
          <cell r="D13">
            <v>291756</v>
          </cell>
          <cell r="E13">
            <v>295303</v>
          </cell>
        </row>
        <row r="14">
          <cell r="C14">
            <v>161988</v>
          </cell>
          <cell r="D14">
            <v>161988</v>
          </cell>
          <cell r="E14">
            <v>171570</v>
          </cell>
        </row>
        <row r="15">
          <cell r="C15">
            <v>0</v>
          </cell>
          <cell r="D15">
            <v>200</v>
          </cell>
          <cell r="E15">
            <v>30000</v>
          </cell>
        </row>
        <row r="16">
          <cell r="C16">
            <v>5500</v>
          </cell>
          <cell r="D16">
            <v>5500</v>
          </cell>
          <cell r="E16">
            <v>5500</v>
          </cell>
        </row>
        <row r="17">
          <cell r="C17">
            <v>5500</v>
          </cell>
          <cell r="D17">
            <v>5500</v>
          </cell>
          <cell r="E17">
            <v>5480</v>
          </cell>
        </row>
        <row r="18">
          <cell r="C18">
            <v>2210</v>
          </cell>
          <cell r="D18">
            <v>2210</v>
          </cell>
          <cell r="E18">
            <v>1910</v>
          </cell>
        </row>
        <row r="20">
          <cell r="C20">
            <v>660000</v>
          </cell>
          <cell r="D20">
            <v>712119</v>
          </cell>
          <cell r="E20">
            <v>800000</v>
          </cell>
        </row>
        <row r="21">
          <cell r="C21">
            <v>950000</v>
          </cell>
          <cell r="D21">
            <v>950000</v>
          </cell>
          <cell r="E21">
            <v>1250000</v>
          </cell>
        </row>
        <row r="22">
          <cell r="C22">
            <v>24000</v>
          </cell>
          <cell r="D22">
            <v>36054</v>
          </cell>
          <cell r="E22">
            <v>35000</v>
          </cell>
        </row>
        <row r="23">
          <cell r="C23">
            <v>255000</v>
          </cell>
          <cell r="D23">
            <v>255000</v>
          </cell>
          <cell r="E23">
            <v>0</v>
          </cell>
        </row>
        <row r="24">
          <cell r="C24">
            <v>40000</v>
          </cell>
          <cell r="D24">
            <v>43758</v>
          </cell>
          <cell r="E24">
            <v>46000</v>
          </cell>
        </row>
        <row r="25">
          <cell r="C25">
            <v>43000</v>
          </cell>
          <cell r="D25">
            <v>45284</v>
          </cell>
          <cell r="E25">
            <v>45000</v>
          </cell>
        </row>
        <row r="26">
          <cell r="C26">
            <v>55000</v>
          </cell>
          <cell r="D26">
            <v>55000</v>
          </cell>
          <cell r="E26">
            <v>70000</v>
          </cell>
        </row>
      </sheetData>
      <sheetData sheetId="12" refreshError="1"/>
      <sheetData sheetId="13">
        <row r="14">
          <cell r="C14">
            <v>43002</v>
          </cell>
          <cell r="D14">
            <v>25379</v>
          </cell>
          <cell r="E14">
            <v>26565</v>
          </cell>
          <cell r="F14">
            <v>28259</v>
          </cell>
        </row>
        <row r="15">
          <cell r="C15">
            <v>66420</v>
          </cell>
          <cell r="D15">
            <v>184663</v>
          </cell>
          <cell r="E15">
            <v>183514</v>
          </cell>
          <cell r="F15">
            <v>199529</v>
          </cell>
        </row>
        <row r="16">
          <cell r="C16">
            <v>18718</v>
          </cell>
          <cell r="D16">
            <v>20322</v>
          </cell>
          <cell r="E16">
            <v>20322</v>
          </cell>
          <cell r="F16">
            <v>23735</v>
          </cell>
        </row>
        <row r="17">
          <cell r="C17">
            <v>302</v>
          </cell>
          <cell r="D17">
            <v>8077</v>
          </cell>
          <cell r="E17">
            <v>9774</v>
          </cell>
          <cell r="F17">
            <v>7818</v>
          </cell>
        </row>
        <row r="18">
          <cell r="D18">
            <v>2267</v>
          </cell>
          <cell r="E18">
            <v>2267</v>
          </cell>
          <cell r="F18">
            <v>2328</v>
          </cell>
        </row>
        <row r="19">
          <cell r="D19">
            <v>280</v>
          </cell>
          <cell r="E19">
            <v>280</v>
          </cell>
          <cell r="F19">
            <v>280</v>
          </cell>
        </row>
        <row r="20">
          <cell r="D20">
            <v>6300</v>
          </cell>
          <cell r="E20">
            <v>6300</v>
          </cell>
          <cell r="F20">
            <v>6029</v>
          </cell>
        </row>
        <row r="21">
          <cell r="D21">
            <v>8650</v>
          </cell>
          <cell r="E21">
            <v>8650</v>
          </cell>
          <cell r="F21">
            <v>8100</v>
          </cell>
        </row>
        <row r="22">
          <cell r="D22">
            <v>2822</v>
          </cell>
          <cell r="E22">
            <v>2822</v>
          </cell>
          <cell r="F22">
            <v>2620</v>
          </cell>
        </row>
        <row r="24">
          <cell r="D24">
            <v>20</v>
          </cell>
          <cell r="F24">
            <v>20</v>
          </cell>
        </row>
        <row r="28">
          <cell r="D28">
            <v>865</v>
          </cell>
          <cell r="F28">
            <v>1045</v>
          </cell>
        </row>
      </sheetData>
      <sheetData sheetId="14">
        <row r="20">
          <cell r="AA20">
            <v>1074</v>
          </cell>
        </row>
      </sheetData>
      <sheetData sheetId="15">
        <row r="11">
          <cell r="C11">
            <v>74123</v>
          </cell>
          <cell r="D11">
            <v>36294</v>
          </cell>
          <cell r="E11">
            <v>11491</v>
          </cell>
          <cell r="F11">
            <v>37921</v>
          </cell>
        </row>
        <row r="12">
          <cell r="C12">
            <v>129005</v>
          </cell>
          <cell r="D12">
            <v>264148</v>
          </cell>
          <cell r="E12">
            <v>264148</v>
          </cell>
          <cell r="F12">
            <v>312732</v>
          </cell>
        </row>
        <row r="13">
          <cell r="C13">
            <v>14538</v>
          </cell>
          <cell r="D13">
            <v>36712</v>
          </cell>
          <cell r="E13">
            <v>36712</v>
          </cell>
          <cell r="F13">
            <v>38147</v>
          </cell>
        </row>
        <row r="14">
          <cell r="D14">
            <v>2676</v>
          </cell>
          <cell r="E14">
            <v>2676</v>
          </cell>
          <cell r="F14">
            <v>2676</v>
          </cell>
        </row>
        <row r="15">
          <cell r="D15">
            <v>11700</v>
          </cell>
          <cell r="E15">
            <v>11700</v>
          </cell>
          <cell r="F15">
            <v>11420</v>
          </cell>
        </row>
        <row r="16">
          <cell r="D16">
            <v>9500</v>
          </cell>
          <cell r="E16">
            <v>9500</v>
          </cell>
          <cell r="F16">
            <v>11522</v>
          </cell>
        </row>
        <row r="17">
          <cell r="D17">
            <v>1714</v>
          </cell>
          <cell r="E17">
            <v>1714</v>
          </cell>
          <cell r="F17">
            <v>1714</v>
          </cell>
        </row>
        <row r="18">
          <cell r="C18">
            <v>8144</v>
          </cell>
        </row>
      </sheetData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612867</v>
          </cell>
        </row>
        <row r="66">
          <cell r="H66">
            <v>939668</v>
          </cell>
        </row>
        <row r="67">
          <cell r="H67">
            <v>437981</v>
          </cell>
        </row>
        <row r="68">
          <cell r="H68">
            <v>11530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6">
          <cell r="H76">
            <v>595</v>
          </cell>
        </row>
        <row r="77">
          <cell r="H77">
            <v>1462292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199"/>
    </sheetNames>
    <sheetDataSet>
      <sheetData sheetId="0">
        <row r="15">
          <cell r="D15">
            <v>13417</v>
          </cell>
          <cell r="F15">
            <v>15838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12818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99"/>
    </sheetNames>
    <sheetDataSet>
      <sheetData sheetId="0">
        <row r="15">
          <cell r="D15">
            <v>34300</v>
          </cell>
          <cell r="F15">
            <v>40000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99"/>
    </sheetNames>
    <sheetDataSet>
      <sheetData sheetId="0">
        <row r="14">
          <cell r="D14">
            <v>34300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ložky s mimořádným nárůstem"/>
      <sheetName val="Výčíslení úspory"/>
      <sheetName val="celkem"/>
      <sheetName val="02"/>
      <sheetName val="03"/>
      <sheetName val="10"/>
      <sheetName val="11"/>
      <sheetName val="12"/>
      <sheetName val="19"/>
    </sheetNames>
    <sheetDataSet>
      <sheetData sheetId="0"/>
      <sheetData sheetId="1"/>
      <sheetData sheetId="2">
        <row r="12">
          <cell r="H12">
            <v>15003670</v>
          </cell>
        </row>
      </sheetData>
      <sheetData sheetId="3">
        <row r="8">
          <cell r="G8">
            <v>919</v>
          </cell>
        </row>
        <row r="14">
          <cell r="F14">
            <v>0</v>
          </cell>
          <cell r="G14">
            <v>919</v>
          </cell>
          <cell r="H14">
            <v>1798</v>
          </cell>
        </row>
      </sheetData>
      <sheetData sheetId="4">
        <row r="16">
          <cell r="F16">
            <v>0</v>
          </cell>
          <cell r="G16">
            <v>0</v>
          </cell>
          <cell r="H16">
            <v>122</v>
          </cell>
        </row>
      </sheetData>
      <sheetData sheetId="5">
        <row r="27">
          <cell r="G27">
            <v>0</v>
          </cell>
          <cell r="H27">
            <v>12326829</v>
          </cell>
          <cell r="I27">
            <v>12756060</v>
          </cell>
        </row>
      </sheetData>
      <sheetData sheetId="6">
        <row r="16">
          <cell r="G16">
            <v>0</v>
          </cell>
          <cell r="H16">
            <v>1963190</v>
          </cell>
          <cell r="I16">
            <v>1958690</v>
          </cell>
        </row>
      </sheetData>
      <sheetData sheetId="7">
        <row r="11">
          <cell r="H11">
            <v>260007</v>
          </cell>
          <cell r="I11">
            <v>287000</v>
          </cell>
        </row>
      </sheetData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600808</v>
          </cell>
        </row>
        <row r="8">
          <cell r="J8">
            <v>885898.85</v>
          </cell>
        </row>
        <row r="12">
          <cell r="J12">
            <v>0</v>
          </cell>
        </row>
        <row r="13">
          <cell r="H13">
            <v>484721.35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 "/>
      <sheetName val="Souhrn dle oblastí"/>
    </sheetNames>
    <sheetDataSet>
      <sheetData sheetId="0">
        <row r="5">
          <cell r="G5">
            <v>31945</v>
          </cell>
        </row>
        <row r="6">
          <cell r="H6">
            <v>413740</v>
          </cell>
        </row>
        <row r="7">
          <cell r="H7">
            <v>55821</v>
          </cell>
        </row>
        <row r="8">
          <cell r="G8">
            <v>54336</v>
          </cell>
        </row>
        <row r="9">
          <cell r="G9">
            <v>914264</v>
          </cell>
        </row>
        <row r="10">
          <cell r="H10">
            <v>27051</v>
          </cell>
        </row>
        <row r="11">
          <cell r="D11">
            <v>11138</v>
          </cell>
          <cell r="H11">
            <v>44845</v>
          </cell>
        </row>
        <row r="12">
          <cell r="D12">
            <v>550024</v>
          </cell>
          <cell r="H12">
            <v>1069825</v>
          </cell>
        </row>
        <row r="13">
          <cell r="D13">
            <v>142815</v>
          </cell>
          <cell r="H13">
            <v>451272</v>
          </cell>
        </row>
        <row r="14">
          <cell r="G14">
            <v>19203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3">
          <cell r="G13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267458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225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80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47">
          <cell r="F47">
            <v>12818</v>
          </cell>
        </row>
        <row r="65">
          <cell r="F65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ůstatek na účtu a zapojení úvě"/>
      <sheetName val="Splátky úvěrů"/>
    </sheetNames>
    <sheetDataSet>
      <sheetData sheetId="0">
        <row r="14">
          <cell r="G14">
            <v>1900000</v>
          </cell>
        </row>
      </sheetData>
      <sheetData sheetId="1">
        <row r="15">
          <cell r="G15">
            <v>233957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  <sheetName val="ORJ 17  školství "/>
      <sheetName val="ORJ 17 sociální "/>
      <sheetName val="ORJ 17 doprava "/>
      <sheetName val="ORJ 17 kultura "/>
      <sheetName val="ORJ 14 zdravotnictví "/>
      <sheetName val="ORJ 17 - zdravotnictví "/>
      <sheetName val="ORJ 17 zdrav. SMN "/>
    </sheetNames>
    <sheetDataSet>
      <sheetData sheetId="0">
        <row r="5">
          <cell r="G5">
            <v>89595</v>
          </cell>
        </row>
        <row r="6">
          <cell r="G6">
            <v>50243</v>
          </cell>
        </row>
        <row r="7">
          <cell r="G7">
            <v>20825</v>
          </cell>
        </row>
        <row r="8">
          <cell r="G8">
            <v>121825</v>
          </cell>
        </row>
        <row r="9">
          <cell r="G9">
            <v>5578</v>
          </cell>
        </row>
        <row r="10">
          <cell r="G10">
            <v>11120</v>
          </cell>
        </row>
        <row r="12">
          <cell r="G12">
            <v>52653</v>
          </cell>
        </row>
        <row r="13">
          <cell r="G13">
            <v>8759</v>
          </cell>
        </row>
        <row r="16">
          <cell r="G16">
            <v>2605</v>
          </cell>
        </row>
        <row r="17">
          <cell r="G17">
            <v>95777</v>
          </cell>
        </row>
        <row r="19">
          <cell r="F19">
            <v>30776</v>
          </cell>
          <cell r="G19">
            <v>11750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  <sheetName val="ORJ 10 - školství - žádanky"/>
      <sheetName val="ORJ 17 - školství - žádanky "/>
      <sheetName val="ORJ 17 školství - nové "/>
      <sheetName val="ORJ 11 - sociální - žádanky"/>
      <sheetName val="ORJ 17 - sociální - žádanky"/>
      <sheetName val="ORJ 12 - doprava"/>
      <sheetName val="ORJ 13 - kultura - žádanky"/>
      <sheetName val="ORJ 14 zdrav - žádanky "/>
      <sheetName val="ORJ 17 zdrav - žádanky"/>
      <sheetName val="Oblast KÚOK - ORJ 03"/>
      <sheetName val="Oblast IT - ORJ 06 "/>
      <sheetName val="Oblast krizového řízení ORJ 18 "/>
    </sheetNames>
    <sheetDataSet>
      <sheetData sheetId="0">
        <row r="5">
          <cell r="E5">
            <v>13200</v>
          </cell>
          <cell r="G5">
            <v>3666</v>
          </cell>
        </row>
        <row r="6">
          <cell r="E6">
            <v>1335</v>
          </cell>
          <cell r="G6">
            <v>9495</v>
          </cell>
        </row>
        <row r="8">
          <cell r="G8">
            <v>6000</v>
          </cell>
        </row>
        <row r="9">
          <cell r="G9">
            <v>41813</v>
          </cell>
        </row>
        <row r="10">
          <cell r="G10">
            <v>8458</v>
          </cell>
        </row>
        <row r="11">
          <cell r="G11">
            <v>22843</v>
          </cell>
        </row>
        <row r="12">
          <cell r="G12">
            <v>12274</v>
          </cell>
        </row>
        <row r="13">
          <cell r="G13">
            <v>7950</v>
          </cell>
        </row>
        <row r="15">
          <cell r="G15">
            <v>756400</v>
          </cell>
        </row>
        <row r="17">
          <cell r="G17">
            <v>7170</v>
          </cell>
        </row>
        <row r="18">
          <cell r="G18">
            <v>4068</v>
          </cell>
        </row>
        <row r="21">
          <cell r="E21">
            <v>555</v>
          </cell>
          <cell r="G21">
            <v>10166</v>
          </cell>
        </row>
        <row r="22">
          <cell r="G22">
            <v>6000</v>
          </cell>
        </row>
        <row r="26">
          <cell r="G26">
            <v>29503</v>
          </cell>
        </row>
        <row r="27">
          <cell r="G27">
            <v>3980</v>
          </cell>
        </row>
        <row r="28">
          <cell r="G28">
            <v>27414</v>
          </cell>
        </row>
        <row r="29">
          <cell r="G29">
            <v>11400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H13">
            <v>27051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  <sheetName val="ORJ 10 školství"/>
      <sheetName val="ORJ 64 školství"/>
      <sheetName val="ORJ 60 sociální "/>
      <sheetName val="ORJ 64 sociální"/>
      <sheetName val="ORJ 64 kultura"/>
      <sheetName val="ORJ 14 zdravotnictví "/>
      <sheetName val="ORJ 59 životní prostředí"/>
      <sheetName val="ORJ 33 regionální rozvoj"/>
      <sheetName val="ORJ 74 regionální rozvoj"/>
    </sheetNames>
    <sheetDataSet>
      <sheetData sheetId="0">
        <row r="19">
          <cell r="D19">
            <v>11138</v>
          </cell>
          <cell r="G19">
            <v>33707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  <sheetName val="ORJ 10 školství"/>
      <sheetName val="ORJ 52 školství"/>
      <sheetName val="ORJ 59 školství"/>
      <sheetName val="ORJ 52 sociální"/>
      <sheetName val="ORJ 12 doprava"/>
      <sheetName val="ORJ 50 doprava"/>
      <sheetName val="ORJ 13 kultura"/>
      <sheetName val="ORJ 52 kultura"/>
      <sheetName val="ORJ 14 zdravotnictví"/>
      <sheetName val="ORJ 52 zdravotnictví"/>
      <sheetName val="ORJ 59 zdravotnictví"/>
      <sheetName val="ORJ 52 ostatní"/>
      <sheetName val="ORJ 59 informační technologie"/>
      <sheetName val="ORJ 59 územní plánování"/>
    </sheetNames>
    <sheetDataSet>
      <sheetData sheetId="0">
        <row r="5">
          <cell r="C5">
            <v>0</v>
          </cell>
          <cell r="G5">
            <v>11231</v>
          </cell>
        </row>
        <row r="6">
          <cell r="C6">
            <v>134694</v>
          </cell>
          <cell r="G6">
            <v>54406</v>
          </cell>
        </row>
        <row r="7">
          <cell r="C7">
            <v>47598</v>
          </cell>
          <cell r="G7">
            <v>110436</v>
          </cell>
        </row>
        <row r="8">
          <cell r="C8">
            <v>11589</v>
          </cell>
          <cell r="G8">
            <v>5789</v>
          </cell>
        </row>
        <row r="9">
          <cell r="C9">
            <v>102464</v>
          </cell>
          <cell r="G9">
            <v>216547</v>
          </cell>
        </row>
        <row r="10">
          <cell r="C10">
            <v>11535</v>
          </cell>
          <cell r="G10">
            <v>59220</v>
          </cell>
        </row>
        <row r="11">
          <cell r="C11">
            <v>0</v>
          </cell>
          <cell r="G11">
            <v>37500</v>
          </cell>
        </row>
        <row r="12">
          <cell r="C12">
            <v>50756</v>
          </cell>
          <cell r="G12">
            <v>41722</v>
          </cell>
        </row>
        <row r="13">
          <cell r="C13">
            <v>0</v>
          </cell>
          <cell r="G13">
            <v>5500</v>
          </cell>
        </row>
        <row r="14">
          <cell r="C14">
            <v>12582</v>
          </cell>
          <cell r="G14">
            <v>28000</v>
          </cell>
        </row>
        <row r="15">
          <cell r="C15">
            <v>42002</v>
          </cell>
          <cell r="G15">
            <v>31747</v>
          </cell>
        </row>
        <row r="16">
          <cell r="C16">
            <v>3580</v>
          </cell>
          <cell r="G16">
            <v>2107</v>
          </cell>
        </row>
        <row r="17">
          <cell r="C17">
            <v>15000</v>
          </cell>
          <cell r="G17">
            <v>54536</v>
          </cell>
        </row>
        <row r="18">
          <cell r="C18">
            <v>11612</v>
          </cell>
          <cell r="G18">
            <v>60122</v>
          </cell>
        </row>
        <row r="19">
          <cell r="C19">
            <v>47993</v>
          </cell>
          <cell r="G19">
            <v>14137</v>
          </cell>
        </row>
        <row r="20">
          <cell r="C20">
            <v>30068</v>
          </cell>
          <cell r="G20">
            <v>46932</v>
          </cell>
        </row>
        <row r="21">
          <cell r="C21">
            <v>98725</v>
          </cell>
          <cell r="G21">
            <v>28346</v>
          </cell>
        </row>
        <row r="22">
          <cell r="C22">
            <v>72641</v>
          </cell>
          <cell r="G22">
            <v>19980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ast energ. služby - ORJ 08 "/>
    </sheetNames>
    <sheetDataSet>
      <sheetData sheetId="0">
        <row r="27">
          <cell r="O27">
            <v>19203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7"/>
      <sheetName val="18"/>
      <sheetName val="19"/>
      <sheetName val="20"/>
      <sheetName val="98"/>
    </sheetNames>
    <sheetDataSet>
      <sheetData sheetId="0" refreshError="1"/>
      <sheetData sheetId="1" refreshError="1"/>
      <sheetData sheetId="2">
        <row r="25">
          <cell r="F25">
            <v>1223558</v>
          </cell>
          <cell r="H25">
            <v>1596360</v>
          </cell>
        </row>
      </sheetData>
      <sheetData sheetId="3">
        <row r="15">
          <cell r="E15">
            <v>48558</v>
          </cell>
          <cell r="F15">
            <v>48558</v>
          </cell>
          <cell r="G15">
            <v>49107</v>
          </cell>
        </row>
      </sheetData>
      <sheetData sheetId="4">
        <row r="12">
          <cell r="E12">
            <v>430315</v>
          </cell>
          <cell r="F12">
            <v>443679</v>
          </cell>
          <cell r="G12">
            <v>490552</v>
          </cell>
        </row>
      </sheetData>
      <sheetData sheetId="5">
        <row r="14">
          <cell r="E14">
            <v>126807</v>
          </cell>
          <cell r="F14">
            <v>126652</v>
          </cell>
          <cell r="G14">
            <v>129341</v>
          </cell>
        </row>
      </sheetData>
      <sheetData sheetId="6">
        <row r="12">
          <cell r="E12">
            <v>51540</v>
          </cell>
          <cell r="F12">
            <v>51629</v>
          </cell>
          <cell r="G12">
            <v>57017</v>
          </cell>
        </row>
      </sheetData>
      <sheetData sheetId="7">
        <row r="11">
          <cell r="E11">
            <v>45111</v>
          </cell>
          <cell r="F11">
            <v>51352</v>
          </cell>
          <cell r="G11">
            <v>52428</v>
          </cell>
        </row>
      </sheetData>
      <sheetData sheetId="8">
        <row r="12">
          <cell r="E12">
            <v>252715</v>
          </cell>
          <cell r="F12">
            <v>242983</v>
          </cell>
          <cell r="G12">
            <v>143836</v>
          </cell>
        </row>
      </sheetData>
      <sheetData sheetId="9">
        <row r="16">
          <cell r="E16">
            <v>37442</v>
          </cell>
          <cell r="F16">
            <v>39702</v>
          </cell>
          <cell r="G16">
            <v>46637</v>
          </cell>
        </row>
      </sheetData>
      <sheetData sheetId="10">
        <row r="23">
          <cell r="E23">
            <v>8640</v>
          </cell>
          <cell r="F23">
            <v>56940</v>
          </cell>
          <cell r="G23">
            <v>305265</v>
          </cell>
        </row>
      </sheetData>
      <sheetData sheetId="11">
        <row r="16">
          <cell r="E16">
            <v>12558</v>
          </cell>
          <cell r="F16">
            <v>13214</v>
          </cell>
          <cell r="G16">
            <v>14437</v>
          </cell>
        </row>
      </sheetData>
      <sheetData sheetId="12">
        <row r="15">
          <cell r="E15">
            <v>4416</v>
          </cell>
          <cell r="F15">
            <v>5746</v>
          </cell>
          <cell r="G15">
            <v>4345</v>
          </cell>
        </row>
      </sheetData>
      <sheetData sheetId="13">
        <row r="13">
          <cell r="E13">
            <v>870</v>
          </cell>
          <cell r="F13">
            <v>870</v>
          </cell>
          <cell r="G13">
            <v>860</v>
          </cell>
        </row>
      </sheetData>
      <sheetData sheetId="14">
        <row r="15">
          <cell r="E15">
            <v>34740</v>
          </cell>
          <cell r="F15">
            <v>38089</v>
          </cell>
          <cell r="G15">
            <v>34165</v>
          </cell>
        </row>
      </sheetData>
      <sheetData sheetId="15">
        <row r="19">
          <cell r="E19">
            <v>80460</v>
          </cell>
          <cell r="F19">
            <v>81507</v>
          </cell>
          <cell r="G19">
            <v>83940</v>
          </cell>
        </row>
      </sheetData>
      <sheetData sheetId="16">
        <row r="9">
          <cell r="E9">
            <v>0</v>
          </cell>
          <cell r="F9">
            <v>510</v>
          </cell>
          <cell r="G9">
            <v>515</v>
          </cell>
        </row>
      </sheetData>
      <sheetData sheetId="17">
        <row r="12">
          <cell r="E12">
            <v>1355</v>
          </cell>
          <cell r="F12">
            <v>2317</v>
          </cell>
          <cell r="G12">
            <v>1355</v>
          </cell>
        </row>
      </sheetData>
      <sheetData sheetId="18">
        <row r="30">
          <cell r="E30">
            <v>72454</v>
          </cell>
          <cell r="F30">
            <v>73187</v>
          </cell>
          <cell r="G30">
            <v>166983</v>
          </cell>
        </row>
      </sheetData>
      <sheetData sheetId="19" refreshError="1"/>
      <sheetData sheetId="20">
        <row r="10">
          <cell r="E10">
            <v>577</v>
          </cell>
          <cell r="F10">
            <v>577</v>
          </cell>
          <cell r="G10">
            <v>577</v>
          </cell>
        </row>
      </sheetData>
      <sheetData sheetId="21">
        <row r="13">
          <cell r="E13">
            <v>15000</v>
          </cell>
          <cell r="F13">
            <v>49705</v>
          </cell>
          <cell r="G13">
            <v>15000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03 pod čarou"/>
    </sheetNames>
    <sheetDataSet>
      <sheetData sheetId="0">
        <row r="23">
          <cell r="H23">
            <v>884329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20">
          <cell r="E120">
            <v>553544</v>
          </cell>
        </row>
      </sheetData>
      <sheetData sheetId="1">
        <row r="24">
          <cell r="G24">
            <v>300</v>
          </cell>
          <cell r="H24"/>
        </row>
        <row r="25">
          <cell r="G25">
            <v>415</v>
          </cell>
          <cell r="H25"/>
        </row>
        <row r="28">
          <cell r="I28">
            <v>300</v>
          </cell>
          <cell r="J28">
            <v>300</v>
          </cell>
        </row>
        <row r="29">
          <cell r="I29">
            <v>350</v>
          </cell>
          <cell r="J29">
            <v>125</v>
          </cell>
        </row>
        <row r="30">
          <cell r="J30">
            <v>75</v>
          </cell>
        </row>
        <row r="33">
          <cell r="G33">
            <v>39841</v>
          </cell>
          <cell r="H33"/>
        </row>
        <row r="34">
          <cell r="G34">
            <v>2000</v>
          </cell>
          <cell r="H34"/>
        </row>
        <row r="35">
          <cell r="G35">
            <v>3000</v>
          </cell>
          <cell r="H35"/>
        </row>
        <row r="37">
          <cell r="I37">
            <v>36765</v>
          </cell>
        </row>
        <row r="38">
          <cell r="I38">
            <v>3000</v>
          </cell>
        </row>
        <row r="42">
          <cell r="I42">
            <v>1000</v>
          </cell>
          <cell r="J42">
            <v>2137</v>
          </cell>
        </row>
        <row r="48">
          <cell r="G48">
            <v>1000</v>
          </cell>
          <cell r="H48"/>
        </row>
        <row r="51">
          <cell r="G51">
            <v>1420</v>
          </cell>
          <cell r="H51"/>
          <cell r="I51">
            <v>1200</v>
          </cell>
          <cell r="J51">
            <v>31</v>
          </cell>
        </row>
        <row r="52">
          <cell r="J52">
            <v>250</v>
          </cell>
        </row>
        <row r="53">
          <cell r="G53">
            <v>1000</v>
          </cell>
          <cell r="H53"/>
          <cell r="J53">
            <v>1461</v>
          </cell>
        </row>
        <row r="70">
          <cell r="E70">
            <v>42615</v>
          </cell>
          <cell r="F70">
            <v>16284</v>
          </cell>
          <cell r="G70">
            <v>94976</v>
          </cell>
        </row>
        <row r="71">
          <cell r="E71">
            <v>1000</v>
          </cell>
          <cell r="F71">
            <v>42434</v>
          </cell>
          <cell r="G71">
            <v>4000</v>
          </cell>
        </row>
      </sheetData>
      <sheetData sheetId="2">
        <row r="17">
          <cell r="G17">
            <v>250</v>
          </cell>
          <cell r="H17"/>
        </row>
        <row r="18">
          <cell r="G18">
            <v>2000</v>
          </cell>
          <cell r="H18"/>
        </row>
        <row r="19">
          <cell r="G19">
            <v>6700</v>
          </cell>
          <cell r="H19"/>
        </row>
        <row r="20">
          <cell r="G20">
            <v>1000</v>
          </cell>
          <cell r="H20"/>
        </row>
        <row r="21">
          <cell r="G21">
            <v>1500</v>
          </cell>
          <cell r="H21"/>
        </row>
        <row r="24">
          <cell r="I24">
            <v>6200</v>
          </cell>
          <cell r="J24">
            <v>2151</v>
          </cell>
          <cell r="M24">
            <v>2020</v>
          </cell>
          <cell r="P24">
            <v>190</v>
          </cell>
        </row>
        <row r="25">
          <cell r="I25">
            <v>1000</v>
          </cell>
          <cell r="J25">
            <v>2578</v>
          </cell>
          <cell r="M25">
            <v>218</v>
          </cell>
        </row>
        <row r="26">
          <cell r="J26">
            <v>1543</v>
          </cell>
        </row>
        <row r="28">
          <cell r="G28">
            <v>5000</v>
          </cell>
          <cell r="H28"/>
        </row>
        <row r="29">
          <cell r="G29">
            <v>2500</v>
          </cell>
          <cell r="H29"/>
        </row>
        <row r="31">
          <cell r="G31">
            <v>500</v>
          </cell>
          <cell r="H31"/>
        </row>
        <row r="33">
          <cell r="I33">
            <v>5000</v>
          </cell>
          <cell r="J33">
            <v>5000</v>
          </cell>
        </row>
        <row r="40">
          <cell r="E40">
            <v>14200</v>
          </cell>
          <cell r="F40">
            <v>14200</v>
          </cell>
          <cell r="G40">
            <v>14200</v>
          </cell>
        </row>
        <row r="41">
          <cell r="E41">
            <v>0</v>
          </cell>
          <cell r="F41">
            <v>0</v>
          </cell>
          <cell r="G41">
            <v>0</v>
          </cell>
        </row>
      </sheetData>
      <sheetData sheetId="3">
        <row r="19">
          <cell r="G19">
            <v>16300</v>
          </cell>
          <cell r="H19"/>
        </row>
        <row r="21">
          <cell r="I21">
            <v>10400</v>
          </cell>
          <cell r="J21">
            <v>9500</v>
          </cell>
        </row>
        <row r="24">
          <cell r="I24">
            <v>5700</v>
          </cell>
          <cell r="J24">
            <v>6600</v>
          </cell>
        </row>
        <row r="28">
          <cell r="G28">
            <v>700</v>
          </cell>
          <cell r="H28"/>
        </row>
        <row r="30">
          <cell r="I30">
            <v>700</v>
          </cell>
          <cell r="J30">
            <v>700</v>
          </cell>
        </row>
        <row r="34">
          <cell r="G34">
            <v>2400</v>
          </cell>
          <cell r="H34"/>
        </row>
        <row r="36">
          <cell r="I36">
            <v>2400</v>
          </cell>
          <cell r="J36">
            <v>1535</v>
          </cell>
        </row>
        <row r="37">
          <cell r="I37">
            <v>0</v>
          </cell>
          <cell r="J37">
            <v>825</v>
          </cell>
        </row>
        <row r="41">
          <cell r="G41">
            <v>1500</v>
          </cell>
          <cell r="H41"/>
        </row>
        <row r="43">
          <cell r="I43">
            <v>1700</v>
          </cell>
          <cell r="J43">
            <v>1528</v>
          </cell>
        </row>
        <row r="44">
          <cell r="I44">
            <v>0</v>
          </cell>
          <cell r="J44">
            <v>172</v>
          </cell>
        </row>
        <row r="47">
          <cell r="G47">
            <v>2500</v>
          </cell>
          <cell r="H47"/>
        </row>
        <row r="49">
          <cell r="I49">
            <v>0</v>
          </cell>
          <cell r="J49">
            <v>0</v>
          </cell>
        </row>
        <row r="57">
          <cell r="E57">
            <v>20900</v>
          </cell>
          <cell r="F57">
            <v>20860</v>
          </cell>
          <cell r="G57">
            <v>23400</v>
          </cell>
        </row>
        <row r="58">
          <cell r="E58">
            <v>0</v>
          </cell>
          <cell r="F58">
            <v>0</v>
          </cell>
          <cell r="G58">
            <v>0</v>
          </cell>
        </row>
      </sheetData>
      <sheetData sheetId="4">
        <row r="9">
          <cell r="E9">
            <v>1650</v>
          </cell>
          <cell r="F9">
            <v>1090</v>
          </cell>
        </row>
        <row r="10">
          <cell r="F10">
            <v>165</v>
          </cell>
        </row>
        <row r="11">
          <cell r="F11">
            <v>395</v>
          </cell>
        </row>
        <row r="12">
          <cell r="E12">
            <v>1650</v>
          </cell>
          <cell r="F12">
            <v>3604</v>
          </cell>
        </row>
        <row r="13">
          <cell r="F13">
            <v>246</v>
          </cell>
        </row>
        <row r="14">
          <cell r="E14">
            <v>2600</v>
          </cell>
          <cell r="F14">
            <v>3013</v>
          </cell>
        </row>
        <row r="15">
          <cell r="E15">
            <v>25000</v>
          </cell>
          <cell r="F15">
            <v>7479</v>
          </cell>
        </row>
        <row r="17">
          <cell r="E17">
            <v>3000</v>
          </cell>
          <cell r="F17">
            <v>3000</v>
          </cell>
          <cell r="G17"/>
        </row>
        <row r="18">
          <cell r="F18">
            <v>17521</v>
          </cell>
        </row>
        <row r="24">
          <cell r="G24">
            <v>2000</v>
          </cell>
          <cell r="H24"/>
        </row>
        <row r="25">
          <cell r="G25">
            <v>3700</v>
          </cell>
          <cell r="H25"/>
        </row>
        <row r="26">
          <cell r="G26">
            <v>3200</v>
          </cell>
          <cell r="H26"/>
        </row>
        <row r="28">
          <cell r="G28">
            <v>25000</v>
          </cell>
          <cell r="H28"/>
        </row>
        <row r="44">
          <cell r="J44">
            <v>56104</v>
          </cell>
        </row>
        <row r="48">
          <cell r="E48">
            <v>63900</v>
          </cell>
          <cell r="F48">
            <v>67222</v>
          </cell>
          <cell r="G48">
            <v>63900</v>
          </cell>
        </row>
        <row r="49">
          <cell r="E49">
            <v>25000</v>
          </cell>
          <cell r="F49">
            <v>25395</v>
          </cell>
          <cell r="G49">
            <v>25000</v>
          </cell>
        </row>
      </sheetData>
      <sheetData sheetId="5">
        <row r="17">
          <cell r="G17">
            <v>12000</v>
          </cell>
          <cell r="H17"/>
        </row>
        <row r="19">
          <cell r="I19">
            <v>12000</v>
          </cell>
          <cell r="J19">
            <v>13245</v>
          </cell>
        </row>
        <row r="22">
          <cell r="G22">
            <v>6000</v>
          </cell>
          <cell r="H22"/>
        </row>
        <row r="24">
          <cell r="I24">
            <v>6000</v>
          </cell>
          <cell r="J24">
            <v>7092</v>
          </cell>
        </row>
        <row r="29">
          <cell r="G29">
            <v>6200</v>
          </cell>
          <cell r="H29"/>
          <cell r="I29">
            <v>4000</v>
          </cell>
          <cell r="J29">
            <v>1914</v>
          </cell>
        </row>
        <row r="30">
          <cell r="I30">
            <v>0</v>
          </cell>
          <cell r="J30">
            <v>1766</v>
          </cell>
        </row>
        <row r="34">
          <cell r="E34">
            <v>0</v>
          </cell>
          <cell r="F34">
            <v>1766</v>
          </cell>
          <cell r="G34">
            <v>0</v>
          </cell>
        </row>
        <row r="35">
          <cell r="E35">
            <v>22000</v>
          </cell>
          <cell r="F35">
            <v>22251</v>
          </cell>
          <cell r="G35">
            <v>24200</v>
          </cell>
        </row>
      </sheetData>
      <sheetData sheetId="6">
        <row r="34">
          <cell r="F34">
            <v>12014</v>
          </cell>
        </row>
        <row r="35">
          <cell r="F35">
            <v>5731</v>
          </cell>
        </row>
        <row r="36">
          <cell r="F36">
            <v>8809</v>
          </cell>
        </row>
        <row r="37">
          <cell r="F37">
            <v>932</v>
          </cell>
        </row>
        <row r="55">
          <cell r="G55">
            <v>13530</v>
          </cell>
          <cell r="H55"/>
        </row>
        <row r="56">
          <cell r="G56">
            <v>270</v>
          </cell>
          <cell r="H56"/>
        </row>
        <row r="57">
          <cell r="G57">
            <v>1650</v>
          </cell>
          <cell r="H57"/>
        </row>
        <row r="58">
          <cell r="G58">
            <v>3250</v>
          </cell>
          <cell r="H58"/>
        </row>
        <row r="60">
          <cell r="I60">
            <v>12300</v>
          </cell>
          <cell r="J60">
            <v>12558</v>
          </cell>
        </row>
        <row r="65">
          <cell r="I65">
            <v>200</v>
          </cell>
          <cell r="J65">
            <v>85</v>
          </cell>
        </row>
        <row r="66">
          <cell r="I66">
            <v>1500</v>
          </cell>
          <cell r="J66">
            <v>1650</v>
          </cell>
        </row>
        <row r="67">
          <cell r="I67">
            <v>2500</v>
          </cell>
          <cell r="J67">
            <v>2750</v>
          </cell>
        </row>
        <row r="70">
          <cell r="G70">
            <v>1375</v>
          </cell>
          <cell r="H70"/>
        </row>
        <row r="72">
          <cell r="I72">
            <v>1250</v>
          </cell>
          <cell r="J72">
            <v>1023</v>
          </cell>
        </row>
        <row r="73">
          <cell r="J73">
            <v>166</v>
          </cell>
        </row>
        <row r="76">
          <cell r="G76">
            <v>4180</v>
          </cell>
          <cell r="H76"/>
        </row>
        <row r="78">
          <cell r="I78">
            <v>3800</v>
          </cell>
          <cell r="J78">
            <v>4366</v>
          </cell>
        </row>
        <row r="87">
          <cell r="I87">
            <v>34100</v>
          </cell>
          <cell r="J87">
            <v>34100</v>
          </cell>
        </row>
        <row r="88">
          <cell r="I88">
            <v>22500</v>
          </cell>
          <cell r="J88">
            <v>22500</v>
          </cell>
        </row>
        <row r="93">
          <cell r="I93">
            <v>1500</v>
          </cell>
          <cell r="J93">
            <v>1160</v>
          </cell>
        </row>
        <row r="94">
          <cell r="J94">
            <v>490</v>
          </cell>
        </row>
        <row r="97">
          <cell r="G97">
            <v>18975</v>
          </cell>
          <cell r="H97"/>
        </row>
        <row r="106">
          <cell r="G106">
            <v>6600</v>
          </cell>
          <cell r="H106"/>
          <cell r="I106">
            <v>6000</v>
          </cell>
          <cell r="J106">
            <v>6648</v>
          </cell>
        </row>
        <row r="115">
          <cell r="G115">
            <v>8959</v>
          </cell>
          <cell r="H115"/>
          <cell r="I115">
            <v>5397</v>
          </cell>
          <cell r="J115">
            <v>4626</v>
          </cell>
        </row>
        <row r="116">
          <cell r="G116">
            <v>7104</v>
          </cell>
          <cell r="H116"/>
          <cell r="I116">
            <v>6458</v>
          </cell>
          <cell r="J116">
            <v>6459</v>
          </cell>
        </row>
        <row r="119">
          <cell r="G119">
            <v>11000</v>
          </cell>
          <cell r="H119"/>
        </row>
        <row r="121">
          <cell r="I121">
            <v>10000</v>
          </cell>
          <cell r="J121">
            <v>11000</v>
          </cell>
        </row>
        <row r="125">
          <cell r="G125">
            <v>15000</v>
          </cell>
          <cell r="H125"/>
        </row>
        <row r="126">
          <cell r="G126">
            <v>1000</v>
          </cell>
          <cell r="H126"/>
        </row>
        <row r="127">
          <cell r="G127">
            <v>2000</v>
          </cell>
          <cell r="H127"/>
        </row>
        <row r="135">
          <cell r="J135">
            <v>496</v>
          </cell>
        </row>
        <row r="136">
          <cell r="J136">
            <v>124</v>
          </cell>
        </row>
        <row r="140">
          <cell r="G140">
            <v>30000</v>
          </cell>
          <cell r="H140"/>
          <cell r="I140">
            <v>23990</v>
          </cell>
        </row>
        <row r="144">
          <cell r="G144">
            <v>16900</v>
          </cell>
          <cell r="H144"/>
        </row>
        <row r="146">
          <cell r="I146">
            <v>15000</v>
          </cell>
          <cell r="J146">
            <v>15000</v>
          </cell>
        </row>
        <row r="150">
          <cell r="G150">
            <v>800</v>
          </cell>
          <cell r="H150"/>
        </row>
        <row r="155">
          <cell r="G155">
            <v>10610</v>
          </cell>
          <cell r="H155"/>
        </row>
        <row r="189">
          <cell r="E189">
            <v>157605</v>
          </cell>
          <cell r="F189">
            <v>161500</v>
          </cell>
          <cell r="G189">
            <v>190688</v>
          </cell>
        </row>
        <row r="190">
          <cell r="E190">
            <v>34250</v>
          </cell>
          <cell r="F190">
            <v>43627</v>
          </cell>
          <cell r="G190">
            <v>36575</v>
          </cell>
        </row>
      </sheetData>
      <sheetData sheetId="7">
        <row r="22">
          <cell r="G22">
            <v>3450</v>
          </cell>
          <cell r="H22"/>
        </row>
        <row r="33">
          <cell r="G33">
            <v>800</v>
          </cell>
          <cell r="H33"/>
          <cell r="I33">
            <v>800</v>
          </cell>
        </row>
        <row r="34">
          <cell r="G34">
            <v>1650</v>
          </cell>
          <cell r="H34"/>
          <cell r="I34">
            <v>1650</v>
          </cell>
        </row>
        <row r="37">
          <cell r="G37">
            <v>1500</v>
          </cell>
          <cell r="H37"/>
        </row>
        <row r="39">
          <cell r="I39">
            <v>1500</v>
          </cell>
          <cell r="J39">
            <v>1500</v>
          </cell>
        </row>
        <row r="42">
          <cell r="G42">
            <v>0</v>
          </cell>
          <cell r="H42"/>
        </row>
        <row r="44">
          <cell r="I44">
            <v>0</v>
          </cell>
          <cell r="J44">
            <v>0</v>
          </cell>
        </row>
        <row r="47">
          <cell r="G47">
            <v>2000</v>
          </cell>
          <cell r="H47"/>
        </row>
        <row r="49">
          <cell r="I49">
            <v>2000</v>
          </cell>
        </row>
        <row r="52">
          <cell r="G52">
            <v>10500</v>
          </cell>
          <cell r="H52"/>
        </row>
        <row r="59">
          <cell r="E59">
            <v>19900</v>
          </cell>
          <cell r="F59">
            <v>18928</v>
          </cell>
          <cell r="G59">
            <v>19900</v>
          </cell>
        </row>
        <row r="60">
          <cell r="E60">
            <v>0</v>
          </cell>
          <cell r="F60">
            <v>1175</v>
          </cell>
          <cell r="G60">
            <v>0</v>
          </cell>
        </row>
      </sheetData>
      <sheetData sheetId="8">
        <row r="22">
          <cell r="G22">
            <v>1000</v>
          </cell>
          <cell r="H22"/>
          <cell r="L22">
            <v>700</v>
          </cell>
        </row>
        <row r="23">
          <cell r="G23">
            <v>600</v>
          </cell>
          <cell r="H23"/>
          <cell r="K23">
            <v>1000</v>
          </cell>
          <cell r="L23">
            <v>300</v>
          </cell>
        </row>
        <row r="24">
          <cell r="G24">
            <v>1200</v>
          </cell>
          <cell r="H24"/>
          <cell r="K24">
            <v>0</v>
          </cell>
          <cell r="L24">
            <v>345</v>
          </cell>
        </row>
        <row r="25">
          <cell r="G25">
            <v>6100</v>
          </cell>
          <cell r="H25"/>
          <cell r="K25">
            <v>600</v>
          </cell>
          <cell r="L25">
            <v>255</v>
          </cell>
        </row>
        <row r="26">
          <cell r="G26">
            <v>1000</v>
          </cell>
          <cell r="H26"/>
        </row>
        <row r="27">
          <cell r="K27">
            <v>0</v>
          </cell>
          <cell r="L27">
            <v>350</v>
          </cell>
        </row>
        <row r="28">
          <cell r="K28">
            <v>1200</v>
          </cell>
          <cell r="L28">
            <v>850</v>
          </cell>
        </row>
        <row r="29">
          <cell r="K29">
            <v>0</v>
          </cell>
          <cell r="L29">
            <v>1248</v>
          </cell>
        </row>
        <row r="30">
          <cell r="K30">
            <v>6100</v>
          </cell>
          <cell r="L30">
            <v>130</v>
          </cell>
        </row>
        <row r="31">
          <cell r="K31">
            <v>0</v>
          </cell>
          <cell r="L31">
            <v>6807</v>
          </cell>
        </row>
        <row r="35">
          <cell r="J35">
            <v>1000</v>
          </cell>
        </row>
        <row r="38">
          <cell r="G38">
            <v>22086</v>
          </cell>
          <cell r="H38"/>
        </row>
        <row r="48">
          <cell r="G48">
            <v>2000</v>
          </cell>
          <cell r="H48"/>
        </row>
        <row r="49">
          <cell r="G49">
            <v>1500</v>
          </cell>
          <cell r="H49"/>
        </row>
        <row r="52">
          <cell r="I52">
            <v>2000</v>
          </cell>
          <cell r="J52">
            <v>2216</v>
          </cell>
        </row>
        <row r="53">
          <cell r="I53">
            <v>1500</v>
          </cell>
          <cell r="J53">
            <v>1550</v>
          </cell>
        </row>
        <row r="63">
          <cell r="I63">
            <v>6690</v>
          </cell>
          <cell r="J63">
            <v>5044</v>
          </cell>
        </row>
        <row r="64">
          <cell r="J64">
            <v>1646</v>
          </cell>
        </row>
        <row r="66">
          <cell r="I66">
            <v>4000</v>
          </cell>
          <cell r="J66">
            <v>5000</v>
          </cell>
        </row>
        <row r="73">
          <cell r="E73">
            <v>20090</v>
          </cell>
          <cell r="F73">
            <v>13988</v>
          </cell>
          <cell r="G73">
            <v>41176</v>
          </cell>
        </row>
        <row r="74">
          <cell r="E74">
            <v>4000</v>
          </cell>
          <cell r="F74">
            <v>13453</v>
          </cell>
          <cell r="G74">
            <v>5000</v>
          </cell>
        </row>
      </sheetData>
      <sheetData sheetId="9">
        <row r="12">
          <cell r="E12">
            <v>128084</v>
          </cell>
          <cell r="G12">
            <v>94291</v>
          </cell>
        </row>
        <row r="78">
          <cell r="G78">
            <v>100000</v>
          </cell>
        </row>
        <row r="92">
          <cell r="E92">
            <v>128084</v>
          </cell>
          <cell r="F92">
            <v>214126.55</v>
          </cell>
          <cell r="G92">
            <v>94291</v>
          </cell>
        </row>
        <row r="93">
          <cell r="E93">
            <v>0</v>
          </cell>
          <cell r="F93">
            <v>163923.04999999999</v>
          </cell>
          <cell r="G93">
            <v>100000</v>
          </cell>
        </row>
        <row r="94">
          <cell r="F94">
            <v>378049.6</v>
          </cell>
        </row>
      </sheetData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39">
          <cell r="G139">
            <v>778658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66">
          <cell r="G66">
            <v>45160</v>
          </cell>
        </row>
        <row r="67">
          <cell r="G67">
            <v>26750</v>
          </cell>
        </row>
        <row r="68">
          <cell r="G68">
            <v>2150</v>
          </cell>
        </row>
        <row r="109">
          <cell r="G109">
            <v>10690</v>
          </cell>
        </row>
        <row r="110">
          <cell r="G110">
            <v>15000</v>
          </cell>
        </row>
        <row r="120">
          <cell r="G120">
            <v>752306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L111"/>
  <sheetViews>
    <sheetView tabSelected="1" view="pageBreakPreview" topLeftCell="A46" zoomScaleNormal="100" zoomScaleSheetLayoutView="100" workbookViewId="0">
      <selection activeCell="I67" sqref="I67"/>
    </sheetView>
  </sheetViews>
  <sheetFormatPr defaultColWidth="9.140625" defaultRowHeight="14.25" x14ac:dyDescent="0.2"/>
  <cols>
    <col min="1" max="7" width="9.140625" style="52"/>
    <col min="8" max="9" width="9.140625" style="361"/>
    <col min="10" max="16384" width="9.140625" style="52"/>
  </cols>
  <sheetData>
    <row r="1" spans="1:9" ht="15" customHeight="1" thickBot="1" x14ac:dyDescent="0.25">
      <c r="A1" s="43"/>
      <c r="B1" s="43"/>
      <c r="C1" s="43"/>
      <c r="D1" s="43"/>
      <c r="E1" s="43"/>
      <c r="F1" s="43"/>
      <c r="G1" s="43" t="s">
        <v>119</v>
      </c>
      <c r="H1" s="360"/>
      <c r="I1" s="33" t="s">
        <v>21</v>
      </c>
    </row>
    <row r="2" spans="1:9" ht="15.75" thickTop="1" x14ac:dyDescent="0.25">
      <c r="A2" s="45" t="s">
        <v>228</v>
      </c>
    </row>
    <row r="4" spans="1:9" ht="33" customHeight="1" x14ac:dyDescent="0.2">
      <c r="A4" s="863" t="s">
        <v>370</v>
      </c>
      <c r="B4" s="863"/>
      <c r="C4" s="863"/>
      <c r="D4" s="863"/>
      <c r="E4" s="863"/>
      <c r="F4" s="863"/>
      <c r="G4" s="863"/>
      <c r="H4" s="863"/>
      <c r="I4" s="31" t="s">
        <v>509</v>
      </c>
    </row>
    <row r="5" spans="1:9" s="32" customFormat="1" ht="18" customHeight="1" x14ac:dyDescent="0.2">
      <c r="A5" s="867" t="s">
        <v>218</v>
      </c>
      <c r="B5" s="867"/>
      <c r="C5" s="867"/>
      <c r="D5" s="867"/>
      <c r="E5" s="867"/>
      <c r="F5" s="867"/>
      <c r="G5" s="867"/>
      <c r="H5" s="867"/>
      <c r="I5" s="31" t="s">
        <v>510</v>
      </c>
    </row>
    <row r="6" spans="1:9" s="32" customFormat="1" ht="18" customHeight="1" x14ac:dyDescent="0.2">
      <c r="A6" s="867" t="s">
        <v>219</v>
      </c>
      <c r="B6" s="867"/>
      <c r="C6" s="867"/>
      <c r="D6" s="867"/>
      <c r="E6" s="867"/>
      <c r="F6" s="867"/>
      <c r="G6" s="867"/>
      <c r="H6" s="867"/>
      <c r="I6" s="31" t="s">
        <v>224</v>
      </c>
    </row>
    <row r="7" spans="1:9" s="32" customFormat="1" ht="18" customHeight="1" x14ac:dyDescent="0.2">
      <c r="A7" s="867" t="s">
        <v>220</v>
      </c>
      <c r="B7" s="867"/>
      <c r="C7" s="867"/>
      <c r="D7" s="867"/>
      <c r="E7" s="867"/>
      <c r="F7" s="867"/>
      <c r="G7" s="867"/>
      <c r="H7" s="867"/>
      <c r="I7" s="31" t="s">
        <v>323</v>
      </c>
    </row>
    <row r="8" spans="1:9" s="32" customFormat="1" ht="18" customHeight="1" x14ac:dyDescent="0.2">
      <c r="A8" s="867" t="s">
        <v>221</v>
      </c>
      <c r="B8" s="867"/>
      <c r="C8" s="867"/>
      <c r="D8" s="867"/>
      <c r="E8" s="867"/>
      <c r="F8" s="867"/>
      <c r="G8" s="867"/>
      <c r="H8" s="867"/>
      <c r="I8" s="31" t="s">
        <v>263</v>
      </c>
    </row>
    <row r="9" spans="1:9" s="32" customFormat="1" ht="18" customHeight="1" x14ac:dyDescent="0.2">
      <c r="A9" s="867" t="s">
        <v>222</v>
      </c>
      <c r="B9" s="867"/>
      <c r="C9" s="867"/>
      <c r="D9" s="867"/>
      <c r="E9" s="867"/>
      <c r="F9" s="867"/>
      <c r="G9" s="867"/>
      <c r="H9" s="867"/>
      <c r="I9" s="31" t="s">
        <v>225</v>
      </c>
    </row>
    <row r="10" spans="1:9" s="32" customFormat="1" ht="31.5" customHeight="1" x14ac:dyDescent="0.2">
      <c r="A10" s="867" t="s">
        <v>223</v>
      </c>
      <c r="B10" s="867"/>
      <c r="C10" s="867"/>
      <c r="D10" s="867"/>
      <c r="E10" s="867"/>
      <c r="F10" s="867"/>
      <c r="G10" s="867"/>
      <c r="H10" s="867"/>
      <c r="I10" s="31" t="s">
        <v>322</v>
      </c>
    </row>
    <row r="11" spans="1:9" s="32" customFormat="1" ht="18" customHeight="1" x14ac:dyDescent="0.2">
      <c r="A11" s="867" t="s">
        <v>511</v>
      </c>
      <c r="B11" s="867"/>
      <c r="C11" s="867"/>
      <c r="D11" s="867"/>
      <c r="E11" s="867"/>
      <c r="F11" s="867"/>
      <c r="G11" s="867"/>
      <c r="H11" s="867"/>
      <c r="I11" s="31" t="s">
        <v>321</v>
      </c>
    </row>
    <row r="12" spans="1:9" s="32" customFormat="1" ht="18" customHeight="1" x14ac:dyDescent="0.2">
      <c r="A12" s="867" t="s">
        <v>512</v>
      </c>
      <c r="B12" s="867"/>
      <c r="C12" s="867"/>
      <c r="D12" s="867"/>
      <c r="E12" s="867"/>
      <c r="F12" s="867"/>
      <c r="G12" s="867"/>
      <c r="H12" s="867"/>
      <c r="I12" s="31" t="s">
        <v>226</v>
      </c>
    </row>
    <row r="13" spans="1:9" s="32" customFormat="1" ht="18" customHeight="1" x14ac:dyDescent="0.2">
      <c r="A13" s="867" t="s">
        <v>514</v>
      </c>
      <c r="B13" s="867"/>
      <c r="C13" s="867"/>
      <c r="D13" s="867"/>
      <c r="E13" s="867"/>
      <c r="F13" s="867"/>
      <c r="G13" s="867"/>
      <c r="H13" s="867"/>
      <c r="I13" s="31" t="s">
        <v>227</v>
      </c>
    </row>
    <row r="14" spans="1:9" ht="15" x14ac:dyDescent="0.2">
      <c r="A14" s="359"/>
      <c r="B14" s="359"/>
      <c r="C14" s="359"/>
      <c r="D14" s="359"/>
      <c r="E14" s="359"/>
      <c r="F14" s="359"/>
      <c r="G14" s="359"/>
      <c r="H14" s="359"/>
      <c r="I14" s="31"/>
    </row>
    <row r="15" spans="1:9" s="346" customFormat="1" ht="15" x14ac:dyDescent="0.25">
      <c r="A15" s="44" t="s">
        <v>515</v>
      </c>
      <c r="B15" s="52"/>
      <c r="C15" s="52"/>
      <c r="D15" s="52"/>
      <c r="E15" s="52"/>
      <c r="F15" s="52"/>
      <c r="G15" s="52"/>
      <c r="H15" s="361"/>
      <c r="I15" s="362"/>
    </row>
    <row r="16" spans="1:9" s="346" customFormat="1" ht="4.5" customHeight="1" x14ac:dyDescent="0.2">
      <c r="A16" s="52"/>
      <c r="B16" s="52"/>
      <c r="C16" s="52"/>
      <c r="D16" s="52"/>
      <c r="E16" s="52"/>
      <c r="F16" s="52"/>
      <c r="G16" s="52"/>
      <c r="H16" s="361"/>
      <c r="I16" s="362"/>
    </row>
    <row r="17" spans="1:10" s="346" customFormat="1" ht="20.100000000000001" customHeight="1" x14ac:dyDescent="0.2">
      <c r="A17" s="32" t="s">
        <v>516</v>
      </c>
      <c r="B17" s="32"/>
      <c r="C17" s="32"/>
      <c r="D17" s="32"/>
      <c r="E17" s="32"/>
      <c r="F17" s="32"/>
      <c r="G17" s="32"/>
      <c r="H17" s="29"/>
      <c r="I17" s="31" t="s">
        <v>517</v>
      </c>
    </row>
    <row r="18" spans="1:10" s="346" customFormat="1" ht="20.100000000000001" customHeight="1" x14ac:dyDescent="0.2">
      <c r="A18" s="864" t="s">
        <v>518</v>
      </c>
      <c r="B18" s="864"/>
      <c r="C18" s="864"/>
      <c r="D18" s="864"/>
      <c r="E18" s="864"/>
      <c r="F18" s="864"/>
      <c r="G18" s="864"/>
      <c r="H18" s="864"/>
      <c r="I18" s="31" t="s">
        <v>519</v>
      </c>
    </row>
    <row r="19" spans="1:10" s="346" customFormat="1" ht="20.100000000000001" customHeight="1" x14ac:dyDescent="0.2">
      <c r="A19" s="32" t="s">
        <v>520</v>
      </c>
      <c r="B19" s="32"/>
      <c r="C19" s="32"/>
      <c r="D19" s="32"/>
      <c r="E19" s="32"/>
      <c r="F19" s="32"/>
      <c r="G19" s="32"/>
      <c r="H19" s="29"/>
      <c r="I19" s="31" t="s">
        <v>521</v>
      </c>
    </row>
    <row r="20" spans="1:10" s="346" customFormat="1" ht="20.100000000000001" customHeight="1" x14ac:dyDescent="0.2">
      <c r="A20" s="32" t="s">
        <v>523</v>
      </c>
      <c r="B20" s="32"/>
      <c r="C20" s="32"/>
      <c r="D20" s="32"/>
      <c r="E20" s="32"/>
      <c r="F20" s="32"/>
      <c r="G20" s="32"/>
      <c r="H20" s="29"/>
      <c r="I20" s="31" t="s">
        <v>522</v>
      </c>
    </row>
    <row r="21" spans="1:10" s="346" customFormat="1" ht="30" customHeight="1" x14ac:dyDescent="0.25">
      <c r="A21" s="44" t="s">
        <v>524</v>
      </c>
      <c r="H21" s="825"/>
      <c r="I21" s="826"/>
    </row>
    <row r="22" spans="1:10" s="346" customFormat="1" ht="6" customHeight="1" x14ac:dyDescent="0.2">
      <c r="A22" s="52"/>
      <c r="H22" s="825"/>
      <c r="I22" s="826"/>
    </row>
    <row r="23" spans="1:10" s="346" customFormat="1" ht="15" x14ac:dyDescent="0.25">
      <c r="A23" s="45" t="s">
        <v>53</v>
      </c>
      <c r="H23" s="825" t="s">
        <v>22</v>
      </c>
      <c r="I23" s="826"/>
    </row>
    <row r="24" spans="1:10" s="346" customFormat="1" ht="20.100000000000001" customHeight="1" x14ac:dyDescent="0.2">
      <c r="A24" s="46" t="s">
        <v>23</v>
      </c>
      <c r="B24" s="831"/>
      <c r="C24" s="827"/>
      <c r="D24" s="827"/>
      <c r="E24" s="827"/>
      <c r="F24" s="827"/>
      <c r="G24" s="827"/>
      <c r="H24" s="828"/>
      <c r="I24" s="30" t="s">
        <v>525</v>
      </c>
      <c r="J24" s="827"/>
    </row>
    <row r="25" spans="1:10" ht="20.100000000000001" customHeight="1" x14ac:dyDescent="0.2">
      <c r="A25" s="48" t="s">
        <v>24</v>
      </c>
      <c r="B25" s="32"/>
      <c r="C25" s="32"/>
      <c r="D25" s="32"/>
      <c r="E25" s="32"/>
      <c r="F25" s="32"/>
      <c r="G25" s="49">
        <v>1</v>
      </c>
      <c r="H25" s="29"/>
      <c r="I25" s="31" t="s">
        <v>571</v>
      </c>
      <c r="J25" s="32"/>
    </row>
    <row r="26" spans="1:10" ht="20.100000000000001" customHeight="1" x14ac:dyDescent="0.2">
      <c r="A26" s="46" t="s">
        <v>231</v>
      </c>
      <c r="B26" s="47"/>
      <c r="C26" s="32"/>
      <c r="D26" s="32"/>
      <c r="E26" s="32"/>
      <c r="F26" s="32"/>
      <c r="G26" s="49">
        <v>2</v>
      </c>
      <c r="H26" s="29"/>
      <c r="I26" s="31" t="s">
        <v>526</v>
      </c>
      <c r="J26" s="32"/>
    </row>
    <row r="27" spans="1:10" ht="20.100000000000001" customHeight="1" x14ac:dyDescent="0.2">
      <c r="A27" s="48" t="s">
        <v>47</v>
      </c>
      <c r="B27" s="32"/>
      <c r="C27" s="32"/>
      <c r="D27" s="32"/>
      <c r="E27" s="32"/>
      <c r="F27" s="32"/>
      <c r="G27" s="49">
        <v>3</v>
      </c>
      <c r="H27" s="29"/>
      <c r="I27" s="31" t="s">
        <v>527</v>
      </c>
      <c r="J27" s="32"/>
    </row>
    <row r="28" spans="1:10" ht="20.100000000000001" customHeight="1" x14ac:dyDescent="0.2">
      <c r="A28" s="48" t="s">
        <v>84</v>
      </c>
      <c r="B28" s="32"/>
      <c r="C28" s="32"/>
      <c r="D28" s="32"/>
      <c r="E28" s="32"/>
      <c r="F28" s="32"/>
      <c r="G28" s="49">
        <v>4</v>
      </c>
      <c r="H28" s="29"/>
      <c r="I28" s="30" t="s">
        <v>528</v>
      </c>
      <c r="J28" s="32"/>
    </row>
    <row r="29" spans="1:10" ht="20.100000000000001" customHeight="1" x14ac:dyDescent="0.2">
      <c r="A29" s="48" t="s">
        <v>77</v>
      </c>
      <c r="B29" s="32"/>
      <c r="C29" s="32"/>
      <c r="D29" s="32"/>
      <c r="E29" s="32"/>
      <c r="F29" s="32"/>
      <c r="G29" s="49">
        <v>6</v>
      </c>
      <c r="H29" s="29"/>
      <c r="I29" s="30" t="s">
        <v>324</v>
      </c>
      <c r="J29" s="32"/>
    </row>
    <row r="30" spans="1:10" ht="20.100000000000001" customHeight="1" x14ac:dyDescent="0.2">
      <c r="A30" s="48" t="s">
        <v>25</v>
      </c>
      <c r="B30" s="32"/>
      <c r="C30" s="32"/>
      <c r="D30" s="32"/>
      <c r="E30" s="32"/>
      <c r="F30" s="32"/>
      <c r="G30" s="49">
        <v>7</v>
      </c>
      <c r="H30" s="29"/>
      <c r="I30" s="31" t="s">
        <v>529</v>
      </c>
      <c r="J30" s="32"/>
    </row>
    <row r="31" spans="1:10" s="504" customFormat="1" ht="20.100000000000001" customHeight="1" x14ac:dyDescent="0.2">
      <c r="A31" s="865" t="s">
        <v>51</v>
      </c>
      <c r="B31" s="865"/>
      <c r="C31" s="865"/>
      <c r="D31" s="865"/>
      <c r="E31" s="865"/>
      <c r="F31" s="865"/>
      <c r="G31" s="49">
        <v>8</v>
      </c>
      <c r="H31" s="29"/>
      <c r="I31" s="31" t="s">
        <v>530</v>
      </c>
      <c r="J31" s="710"/>
    </row>
    <row r="32" spans="1:10" ht="20.100000000000001" customHeight="1" x14ac:dyDescent="0.2">
      <c r="A32" s="48" t="s">
        <v>26</v>
      </c>
      <c r="B32" s="32"/>
      <c r="C32" s="32"/>
      <c r="D32" s="32"/>
      <c r="E32" s="32"/>
      <c r="F32" s="32"/>
      <c r="G32" s="49">
        <v>9</v>
      </c>
      <c r="H32" s="29"/>
      <c r="I32" s="31" t="s">
        <v>531</v>
      </c>
      <c r="J32" s="32"/>
    </row>
    <row r="33" spans="1:10" ht="20.100000000000001" customHeight="1" x14ac:dyDescent="0.2">
      <c r="A33" s="48" t="s">
        <v>78</v>
      </c>
      <c r="B33" s="32"/>
      <c r="C33" s="32"/>
      <c r="D33" s="32"/>
      <c r="E33" s="32"/>
      <c r="F33" s="32"/>
      <c r="G33" s="47">
        <v>10</v>
      </c>
      <c r="H33" s="29"/>
      <c r="I33" s="31" t="s">
        <v>532</v>
      </c>
      <c r="J33" s="32"/>
    </row>
    <row r="34" spans="1:10" ht="20.100000000000001" customHeight="1" x14ac:dyDescent="0.2">
      <c r="A34" s="48" t="s">
        <v>27</v>
      </c>
      <c r="B34" s="32"/>
      <c r="C34" s="32"/>
      <c r="D34" s="32"/>
      <c r="E34" s="32"/>
      <c r="F34" s="32"/>
      <c r="G34" s="47">
        <v>11</v>
      </c>
      <c r="H34" s="29"/>
      <c r="I34" s="31" t="s">
        <v>533</v>
      </c>
      <c r="J34" s="32"/>
    </row>
    <row r="35" spans="1:10" ht="20.100000000000001" customHeight="1" x14ac:dyDescent="0.2">
      <c r="A35" s="48" t="s">
        <v>28</v>
      </c>
      <c r="B35" s="32"/>
      <c r="C35" s="32"/>
      <c r="D35" s="32"/>
      <c r="E35" s="32"/>
      <c r="F35" s="32"/>
      <c r="G35" s="47">
        <v>12</v>
      </c>
      <c r="H35" s="29"/>
      <c r="I35" s="31" t="s">
        <v>534</v>
      </c>
      <c r="J35" s="32"/>
    </row>
    <row r="36" spans="1:10" ht="20.100000000000001" customHeight="1" x14ac:dyDescent="0.2">
      <c r="A36" s="48" t="s">
        <v>79</v>
      </c>
      <c r="B36" s="32"/>
      <c r="C36" s="32"/>
      <c r="D36" s="32"/>
      <c r="E36" s="32"/>
      <c r="F36" s="32"/>
      <c r="G36" s="47">
        <v>13</v>
      </c>
      <c r="H36" s="29"/>
      <c r="I36" s="31" t="s">
        <v>535</v>
      </c>
      <c r="J36" s="32"/>
    </row>
    <row r="37" spans="1:10" ht="20.100000000000001" customHeight="1" x14ac:dyDescent="0.2">
      <c r="A37" s="48" t="s">
        <v>29</v>
      </c>
      <c r="B37" s="32"/>
      <c r="C37" s="32"/>
      <c r="D37" s="32"/>
      <c r="E37" s="32"/>
      <c r="F37" s="32"/>
      <c r="G37" s="47">
        <v>14</v>
      </c>
      <c r="H37" s="29"/>
      <c r="I37" s="31" t="s">
        <v>536</v>
      </c>
      <c r="J37" s="32"/>
    </row>
    <row r="38" spans="1:10" ht="20.100000000000001" customHeight="1" x14ac:dyDescent="0.2">
      <c r="A38" s="48" t="s">
        <v>384</v>
      </c>
      <c r="B38" s="32"/>
      <c r="C38" s="32"/>
      <c r="D38" s="32"/>
      <c r="E38" s="32"/>
      <c r="F38" s="32"/>
      <c r="G38" s="47">
        <v>15</v>
      </c>
      <c r="H38" s="29"/>
      <c r="I38" s="31" t="s">
        <v>537</v>
      </c>
      <c r="J38" s="32"/>
    </row>
    <row r="39" spans="1:10" ht="20.100000000000001" customHeight="1" x14ac:dyDescent="0.2">
      <c r="A39" s="32" t="s">
        <v>80</v>
      </c>
      <c r="B39" s="32"/>
      <c r="C39" s="32"/>
      <c r="D39" s="32"/>
      <c r="E39" s="32"/>
      <c r="F39" s="32"/>
      <c r="G39" s="51">
        <v>17</v>
      </c>
      <c r="H39" s="29"/>
      <c r="I39" s="31" t="s">
        <v>367</v>
      </c>
      <c r="J39" s="32"/>
    </row>
    <row r="40" spans="1:10" ht="20.100000000000001" customHeight="1" x14ac:dyDescent="0.2">
      <c r="A40" s="32" t="s">
        <v>81</v>
      </c>
      <c r="B40" s="32"/>
      <c r="C40" s="32"/>
      <c r="D40" s="32"/>
      <c r="E40" s="32"/>
      <c r="F40" s="32"/>
      <c r="G40" s="51">
        <v>18</v>
      </c>
      <c r="H40" s="29"/>
      <c r="I40" s="31" t="s">
        <v>538</v>
      </c>
      <c r="J40" s="32"/>
    </row>
    <row r="41" spans="1:10" ht="20.100000000000001" customHeight="1" x14ac:dyDescent="0.2">
      <c r="A41" s="32" t="s">
        <v>52</v>
      </c>
      <c r="B41" s="32"/>
      <c r="C41" s="32"/>
      <c r="D41" s="32"/>
      <c r="E41" s="32"/>
      <c r="F41" s="32"/>
      <c r="G41" s="51">
        <v>20</v>
      </c>
      <c r="H41" s="29"/>
      <c r="I41" s="31" t="s">
        <v>368</v>
      </c>
      <c r="J41" s="32"/>
    </row>
    <row r="42" spans="1:10" ht="20.100000000000001" customHeight="1" x14ac:dyDescent="0.2">
      <c r="A42" s="32" t="s">
        <v>325</v>
      </c>
      <c r="B42" s="32"/>
      <c r="C42" s="32"/>
      <c r="D42" s="32"/>
      <c r="E42" s="32"/>
      <c r="F42" s="32"/>
      <c r="G42" s="51">
        <v>98</v>
      </c>
      <c r="H42" s="29"/>
      <c r="I42" s="31" t="s">
        <v>539</v>
      </c>
      <c r="J42" s="32"/>
    </row>
    <row r="43" spans="1:10" s="346" customFormat="1" ht="15" thickBot="1" x14ac:dyDescent="0.25">
      <c r="A43" s="43"/>
      <c r="B43" s="43"/>
      <c r="C43" s="43"/>
      <c r="D43" s="43"/>
      <c r="E43" s="43"/>
      <c r="F43" s="43"/>
      <c r="G43" s="43"/>
      <c r="H43" s="360"/>
      <c r="I43" s="33" t="s">
        <v>21</v>
      </c>
      <c r="J43" s="52"/>
    </row>
    <row r="44" spans="1:10" s="346" customFormat="1" ht="15.75" thickTop="1" x14ac:dyDescent="0.25">
      <c r="A44" s="53" t="s">
        <v>54</v>
      </c>
      <c r="B44" s="52"/>
      <c r="C44" s="348"/>
      <c r="D44" s="348"/>
      <c r="E44" s="52"/>
      <c r="F44" s="52"/>
      <c r="G44" s="348"/>
      <c r="H44" s="363" t="s">
        <v>22</v>
      </c>
      <c r="I44" s="364"/>
      <c r="J44" s="52"/>
    </row>
    <row r="45" spans="1:10" s="346" customFormat="1" ht="20.100000000000001" customHeight="1" x14ac:dyDescent="0.2">
      <c r="A45" s="46" t="s">
        <v>23</v>
      </c>
      <c r="B45" s="47"/>
      <c r="C45" s="32"/>
      <c r="D45" s="32"/>
      <c r="E45" s="32"/>
      <c r="F45" s="32"/>
      <c r="G45" s="32"/>
      <c r="H45" s="29"/>
      <c r="I45" s="30" t="s">
        <v>540</v>
      </c>
      <c r="J45" s="32"/>
    </row>
    <row r="46" spans="1:10" s="346" customFormat="1" ht="20.100000000000001" customHeight="1" x14ac:dyDescent="0.2">
      <c r="A46" s="866" t="s">
        <v>51</v>
      </c>
      <c r="B46" s="866"/>
      <c r="C46" s="866"/>
      <c r="D46" s="866"/>
      <c r="E46" s="866"/>
      <c r="F46" s="866"/>
      <c r="G46" s="50">
        <v>8</v>
      </c>
      <c r="H46" s="36"/>
      <c r="I46" s="37" t="s">
        <v>541</v>
      </c>
      <c r="J46" s="32"/>
    </row>
    <row r="47" spans="1:10" s="346" customFormat="1" ht="20.100000000000001" customHeight="1" x14ac:dyDescent="0.2">
      <c r="A47" s="48" t="s">
        <v>26</v>
      </c>
      <c r="B47" s="32"/>
      <c r="C47" s="32"/>
      <c r="D47" s="32"/>
      <c r="E47" s="32"/>
      <c r="F47" s="32"/>
      <c r="G47" s="49">
        <v>9</v>
      </c>
      <c r="H47" s="29"/>
      <c r="I47" s="31" t="s">
        <v>283</v>
      </c>
      <c r="J47" s="32"/>
    </row>
    <row r="48" spans="1:10" s="346" customFormat="1" ht="20.100000000000001" customHeight="1" x14ac:dyDescent="0.2">
      <c r="A48" s="48" t="s">
        <v>78</v>
      </c>
      <c r="B48" s="32"/>
      <c r="C48" s="32"/>
      <c r="D48" s="32"/>
      <c r="E48" s="32"/>
      <c r="F48" s="32"/>
      <c r="G48" s="47">
        <v>10</v>
      </c>
      <c r="H48" s="29"/>
      <c r="I48" s="31" t="s">
        <v>366</v>
      </c>
      <c r="J48" s="32"/>
    </row>
    <row r="49" spans="1:10" s="346" customFormat="1" ht="20.100000000000001" customHeight="1" x14ac:dyDescent="0.2">
      <c r="A49" s="48" t="s">
        <v>27</v>
      </c>
      <c r="B49" s="32"/>
      <c r="C49" s="32"/>
      <c r="D49" s="32"/>
      <c r="E49" s="32"/>
      <c r="F49" s="32"/>
      <c r="G49" s="47">
        <v>11</v>
      </c>
      <c r="H49" s="29"/>
      <c r="I49" s="31" t="s">
        <v>542</v>
      </c>
      <c r="J49" s="32"/>
    </row>
    <row r="50" spans="1:10" s="346" customFormat="1" ht="20.100000000000001" customHeight="1" x14ac:dyDescent="0.2">
      <c r="A50" s="48" t="s">
        <v>28</v>
      </c>
      <c r="B50" s="32"/>
      <c r="C50" s="32"/>
      <c r="D50" s="32"/>
      <c r="E50" s="32"/>
      <c r="F50" s="32"/>
      <c r="G50" s="47">
        <v>12</v>
      </c>
      <c r="H50" s="29"/>
      <c r="I50" s="31" t="s">
        <v>543</v>
      </c>
      <c r="J50" s="32"/>
    </row>
    <row r="51" spans="1:10" s="346" customFormat="1" ht="21" customHeight="1" x14ac:dyDescent="0.2">
      <c r="A51" s="48" t="s">
        <v>79</v>
      </c>
      <c r="B51" s="32"/>
      <c r="C51" s="32"/>
      <c r="D51" s="32"/>
      <c r="E51" s="32"/>
      <c r="F51" s="32"/>
      <c r="G51" s="47">
        <v>13</v>
      </c>
      <c r="H51" s="29"/>
      <c r="I51" s="31" t="s">
        <v>544</v>
      </c>
      <c r="J51" s="32"/>
    </row>
    <row r="52" spans="1:10" s="346" customFormat="1" ht="20.100000000000001" customHeight="1" x14ac:dyDescent="0.2">
      <c r="A52" s="48" t="s">
        <v>29</v>
      </c>
      <c r="B52" s="32"/>
      <c r="C52" s="32"/>
      <c r="D52" s="32"/>
      <c r="E52" s="32"/>
      <c r="F52" s="32"/>
      <c r="G52" s="47">
        <v>14</v>
      </c>
      <c r="H52" s="29"/>
      <c r="I52" s="31" t="s">
        <v>545</v>
      </c>
      <c r="J52" s="32"/>
    </row>
    <row r="53" spans="1:10" s="346" customFormat="1" ht="20.100000000000001" customHeight="1" x14ac:dyDescent="0.2">
      <c r="A53" s="32" t="s">
        <v>81</v>
      </c>
      <c r="B53" s="32"/>
      <c r="C53" s="32"/>
      <c r="D53" s="32"/>
      <c r="E53" s="32"/>
      <c r="F53" s="32"/>
      <c r="G53" s="51">
        <v>18</v>
      </c>
      <c r="H53" s="29"/>
      <c r="I53" s="31" t="s">
        <v>546</v>
      </c>
      <c r="J53" s="32"/>
    </row>
    <row r="54" spans="1:10" s="346" customFormat="1" ht="19.5" customHeight="1" x14ac:dyDescent="0.2">
      <c r="A54" s="32" t="s">
        <v>83</v>
      </c>
      <c r="B54" s="52"/>
      <c r="C54" s="52"/>
      <c r="D54" s="52"/>
      <c r="E54" s="52"/>
      <c r="F54" s="52"/>
      <c r="G54" s="32" t="s">
        <v>572</v>
      </c>
      <c r="H54" s="361"/>
      <c r="I54" s="361">
        <v>88</v>
      </c>
      <c r="J54" s="52"/>
    </row>
    <row r="55" spans="1:10" s="346" customFormat="1" x14ac:dyDescent="0.2">
      <c r="H55" s="825"/>
      <c r="I55" s="825"/>
    </row>
    <row r="56" spans="1:10" s="346" customFormat="1" ht="15" x14ac:dyDescent="0.25">
      <c r="A56" s="45" t="s">
        <v>55</v>
      </c>
      <c r="B56" s="32"/>
      <c r="C56" s="32"/>
      <c r="D56" s="32"/>
      <c r="E56" s="32"/>
      <c r="F56" s="32"/>
      <c r="G56" s="32"/>
      <c r="H56" s="29"/>
      <c r="I56" s="362"/>
      <c r="J56" s="827"/>
    </row>
    <row r="57" spans="1:10" s="346" customFormat="1" ht="20.100000000000001" customHeight="1" x14ac:dyDescent="0.2">
      <c r="A57" s="46" t="s">
        <v>23</v>
      </c>
      <c r="B57" s="52"/>
      <c r="C57" s="52"/>
      <c r="D57" s="52"/>
      <c r="E57" s="52"/>
      <c r="F57" s="52"/>
      <c r="G57" s="52"/>
      <c r="H57" s="361"/>
      <c r="I57" s="31" t="s">
        <v>547</v>
      </c>
    </row>
    <row r="58" spans="1:10" s="346" customFormat="1" ht="20.100000000000001" customHeight="1" x14ac:dyDescent="0.2">
      <c r="A58" s="48" t="s">
        <v>61</v>
      </c>
      <c r="B58" s="52"/>
      <c r="C58" s="52"/>
      <c r="D58" s="32"/>
      <c r="E58" s="32"/>
      <c r="F58" s="32"/>
      <c r="G58" s="49">
        <v>7</v>
      </c>
      <c r="H58" s="361"/>
      <c r="I58" s="31" t="s">
        <v>548</v>
      </c>
    </row>
    <row r="59" spans="1:10" s="346" customFormat="1" ht="20.100000000000001" customHeight="1" x14ac:dyDescent="0.2">
      <c r="A59" s="48" t="s">
        <v>30</v>
      </c>
      <c r="B59" s="32"/>
      <c r="C59" s="32"/>
      <c r="D59" s="32"/>
      <c r="E59" s="32"/>
      <c r="F59" s="32"/>
      <c r="G59" s="51">
        <v>10</v>
      </c>
      <c r="H59" s="29"/>
      <c r="I59" s="31" t="s">
        <v>549</v>
      </c>
      <c r="J59" s="827"/>
    </row>
    <row r="60" spans="1:10" s="346" customFormat="1" ht="20.100000000000001" customHeight="1" x14ac:dyDescent="0.2">
      <c r="A60" s="48" t="s">
        <v>33</v>
      </c>
      <c r="B60" s="52"/>
      <c r="C60" s="52"/>
      <c r="D60" s="32"/>
      <c r="E60" s="32"/>
      <c r="F60" s="32"/>
      <c r="G60" s="49">
        <v>11</v>
      </c>
      <c r="H60" s="361"/>
      <c r="I60" s="31" t="s">
        <v>550</v>
      </c>
      <c r="J60" s="827"/>
    </row>
    <row r="61" spans="1:10" s="346" customFormat="1" ht="20.100000000000001" customHeight="1" x14ac:dyDescent="0.2">
      <c r="A61" s="48" t="s">
        <v>31</v>
      </c>
      <c r="B61" s="47"/>
      <c r="C61" s="52"/>
      <c r="D61" s="32"/>
      <c r="E61" s="32"/>
      <c r="F61" s="32"/>
      <c r="G61" s="51">
        <v>12</v>
      </c>
      <c r="H61" s="29"/>
      <c r="I61" s="31" t="s">
        <v>551</v>
      </c>
      <c r="J61" s="827"/>
    </row>
    <row r="62" spans="1:10" s="346" customFormat="1" ht="20.100000000000001" customHeight="1" x14ac:dyDescent="0.2">
      <c r="A62" s="48" t="s">
        <v>32</v>
      </c>
      <c r="B62" s="52"/>
      <c r="C62" s="52"/>
      <c r="D62" s="32"/>
      <c r="E62" s="32"/>
      <c r="F62" s="32"/>
      <c r="G62" s="49">
        <v>13</v>
      </c>
      <c r="H62" s="361"/>
      <c r="I62" s="31" t="s">
        <v>552</v>
      </c>
      <c r="J62" s="827"/>
    </row>
    <row r="63" spans="1:10" s="346" customFormat="1" ht="20.100000000000001" customHeight="1" x14ac:dyDescent="0.2">
      <c r="A63" s="48" t="s">
        <v>34</v>
      </c>
      <c r="B63" s="52"/>
      <c r="C63" s="52"/>
      <c r="D63" s="32"/>
      <c r="E63" s="32"/>
      <c r="F63" s="32"/>
      <c r="G63" s="49">
        <v>14</v>
      </c>
      <c r="H63" s="361"/>
      <c r="I63" s="31" t="s">
        <v>553</v>
      </c>
      <c r="J63" s="827"/>
    </row>
    <row r="64" spans="1:10" s="346" customFormat="1" x14ac:dyDescent="0.2">
      <c r="A64" s="827"/>
      <c r="D64" s="827"/>
      <c r="E64" s="827"/>
      <c r="F64" s="827"/>
      <c r="G64" s="832"/>
      <c r="H64" s="825"/>
      <c r="I64" s="833"/>
      <c r="J64" s="827"/>
    </row>
    <row r="65" spans="1:12" ht="15" x14ac:dyDescent="0.25">
      <c r="A65" s="45" t="s">
        <v>56</v>
      </c>
      <c r="B65" s="32"/>
      <c r="C65" s="32"/>
      <c r="D65" s="32"/>
      <c r="E65" s="32"/>
      <c r="F65" s="32"/>
      <c r="G65" s="51">
        <v>199</v>
      </c>
      <c r="H65" s="29"/>
      <c r="I65" s="31" t="s">
        <v>554</v>
      </c>
      <c r="J65" s="32"/>
    </row>
    <row r="66" spans="1:12" s="346" customFormat="1" ht="15" x14ac:dyDescent="0.25">
      <c r="A66" s="830"/>
      <c r="B66" s="827"/>
      <c r="C66" s="827"/>
      <c r="D66" s="827"/>
      <c r="E66" s="827"/>
      <c r="F66" s="827"/>
      <c r="G66" s="861"/>
      <c r="H66" s="828"/>
      <c r="I66" s="829"/>
      <c r="J66" s="827"/>
    </row>
    <row r="67" spans="1:12" ht="14.25" customHeight="1" x14ac:dyDescent="0.2">
      <c r="A67" s="868" t="s">
        <v>57</v>
      </c>
      <c r="B67" s="868"/>
      <c r="C67" s="868"/>
      <c r="D67" s="868"/>
      <c r="E67" s="868"/>
      <c r="F67" s="868"/>
      <c r="G67" s="860"/>
      <c r="H67" s="29"/>
      <c r="I67" s="31" t="s">
        <v>555</v>
      </c>
      <c r="J67" s="32"/>
    </row>
    <row r="68" spans="1:12" ht="35.25" customHeight="1" x14ac:dyDescent="0.2">
      <c r="A68" s="868"/>
      <c r="B68" s="868"/>
      <c r="C68" s="868"/>
      <c r="D68" s="868"/>
      <c r="E68" s="868"/>
      <c r="F68" s="868"/>
      <c r="G68" s="862">
        <v>99</v>
      </c>
      <c r="H68" s="29"/>
      <c r="I68" s="29"/>
      <c r="J68" s="32"/>
    </row>
    <row r="69" spans="1:12" ht="15" customHeight="1" x14ac:dyDescent="0.2">
      <c r="A69" s="709"/>
      <c r="B69" s="709"/>
      <c r="C69" s="709"/>
      <c r="D69" s="709"/>
      <c r="E69" s="709"/>
      <c r="F69" s="709"/>
      <c r="G69" s="860"/>
      <c r="H69" s="29"/>
      <c r="I69" s="29"/>
      <c r="J69" s="32"/>
    </row>
    <row r="70" spans="1:12" s="346" customFormat="1" ht="15" x14ac:dyDescent="0.25">
      <c r="A70" s="45" t="s">
        <v>556</v>
      </c>
      <c r="B70" s="32"/>
      <c r="C70" s="32"/>
      <c r="D70" s="32"/>
      <c r="E70" s="32"/>
      <c r="F70" s="32"/>
      <c r="G70" s="32"/>
      <c r="H70" s="29"/>
      <c r="I70" s="362"/>
      <c r="J70" s="827"/>
    </row>
    <row r="71" spans="1:12" s="346" customFormat="1" ht="20.100000000000001" customHeight="1" x14ac:dyDescent="0.2">
      <c r="A71" s="46" t="s">
        <v>23</v>
      </c>
      <c r="B71" s="52"/>
      <c r="C71" s="52"/>
      <c r="D71" s="52"/>
      <c r="E71" s="52"/>
      <c r="F71" s="52"/>
      <c r="G71" s="52"/>
      <c r="H71" s="361"/>
      <c r="I71" s="31" t="s">
        <v>557</v>
      </c>
    </row>
    <row r="72" spans="1:12" s="346" customFormat="1" ht="20.100000000000001" customHeight="1" x14ac:dyDescent="0.2">
      <c r="A72" s="46" t="s">
        <v>231</v>
      </c>
      <c r="B72" s="47"/>
      <c r="C72" s="32"/>
      <c r="D72" s="32"/>
      <c r="E72" s="32"/>
      <c r="F72" s="32"/>
      <c r="G72" s="49">
        <v>2</v>
      </c>
      <c r="H72" s="361"/>
      <c r="I72" s="31" t="s">
        <v>558</v>
      </c>
    </row>
    <row r="73" spans="1:12" s="346" customFormat="1" ht="20.100000000000001" customHeight="1" x14ac:dyDescent="0.2">
      <c r="A73" s="48" t="s">
        <v>47</v>
      </c>
      <c r="B73" s="32"/>
      <c r="C73" s="32"/>
      <c r="D73" s="32"/>
      <c r="E73" s="32"/>
      <c r="F73" s="32"/>
      <c r="G73" s="49">
        <v>3</v>
      </c>
      <c r="H73" s="29"/>
      <c r="I73" s="31" t="s">
        <v>559</v>
      </c>
      <c r="J73" s="827"/>
    </row>
    <row r="74" spans="1:12" ht="20.100000000000001" customHeight="1" x14ac:dyDescent="0.2">
      <c r="A74" s="48" t="s">
        <v>78</v>
      </c>
      <c r="B74" s="32"/>
      <c r="C74" s="32"/>
      <c r="D74" s="32"/>
      <c r="E74" s="32"/>
      <c r="F74" s="32"/>
      <c r="G74" s="47">
        <v>10</v>
      </c>
      <c r="H74" s="29"/>
      <c r="I74" s="31" t="s">
        <v>560</v>
      </c>
      <c r="J74" s="32"/>
    </row>
    <row r="75" spans="1:12" ht="20.100000000000001" customHeight="1" x14ac:dyDescent="0.2">
      <c r="A75" s="48" t="s">
        <v>27</v>
      </c>
      <c r="B75" s="32"/>
      <c r="C75" s="32"/>
      <c r="D75" s="32"/>
      <c r="E75" s="32"/>
      <c r="F75" s="32"/>
      <c r="G75" s="47">
        <v>11</v>
      </c>
      <c r="H75" s="29"/>
      <c r="I75" s="31" t="s">
        <v>561</v>
      </c>
      <c r="J75" s="32"/>
    </row>
    <row r="76" spans="1:12" ht="20.100000000000001" customHeight="1" x14ac:dyDescent="0.2">
      <c r="A76" s="48" t="s">
        <v>28</v>
      </c>
      <c r="B76" s="32"/>
      <c r="C76" s="32"/>
      <c r="D76" s="32"/>
      <c r="E76" s="32"/>
      <c r="F76" s="32"/>
      <c r="G76" s="47">
        <v>12</v>
      </c>
      <c r="H76" s="29"/>
      <c r="I76" s="31" t="s">
        <v>562</v>
      </c>
      <c r="J76" s="32"/>
    </row>
    <row r="77" spans="1:12" s="346" customFormat="1" ht="20.100000000000001" customHeight="1" x14ac:dyDescent="0.2">
      <c r="A77" s="48"/>
      <c r="B77" s="32"/>
      <c r="C77" s="32"/>
      <c r="D77" s="32"/>
      <c r="E77" s="32"/>
      <c r="F77" s="32"/>
      <c r="G77" s="51"/>
      <c r="H77" s="29"/>
      <c r="I77" s="31"/>
      <c r="J77" s="32"/>
      <c r="K77" s="52"/>
      <c r="L77" s="52"/>
    </row>
    <row r="78" spans="1:12" s="346" customFormat="1" ht="15" x14ac:dyDescent="0.25">
      <c r="A78" s="44" t="s">
        <v>62</v>
      </c>
      <c r="B78" s="32"/>
      <c r="C78" s="32"/>
      <c r="D78" s="32"/>
      <c r="E78" s="32"/>
      <c r="F78" s="32"/>
      <c r="G78" s="32"/>
      <c r="H78" s="29"/>
      <c r="I78" s="31"/>
      <c r="J78" s="32"/>
      <c r="K78" s="52"/>
      <c r="L78" s="52"/>
    </row>
    <row r="79" spans="1:12" s="346" customFormat="1" ht="20.100000000000001" customHeight="1" x14ac:dyDescent="0.2">
      <c r="A79" s="32" t="s">
        <v>568</v>
      </c>
      <c r="B79" s="32"/>
      <c r="C79" s="32"/>
      <c r="D79" s="32"/>
      <c r="E79" s="32"/>
      <c r="F79" s="32"/>
      <c r="G79" s="32"/>
      <c r="H79" s="29"/>
      <c r="I79" s="29">
        <v>116</v>
      </c>
      <c r="J79" s="32"/>
      <c r="K79" s="52"/>
      <c r="L79" s="52"/>
    </row>
    <row r="80" spans="1:12" s="346" customFormat="1" ht="20.100000000000001" customHeight="1" x14ac:dyDescent="0.2">
      <c r="A80" s="32" t="s">
        <v>63</v>
      </c>
      <c r="B80" s="32"/>
      <c r="C80" s="32"/>
      <c r="D80" s="32"/>
      <c r="E80" s="32"/>
      <c r="F80" s="32"/>
      <c r="G80" s="32"/>
      <c r="H80" s="29"/>
      <c r="I80" s="29">
        <v>117</v>
      </c>
      <c r="J80" s="32"/>
      <c r="K80" s="52"/>
      <c r="L80" s="52"/>
    </row>
    <row r="81" spans="1:11" s="346" customFormat="1" ht="15" x14ac:dyDescent="0.25">
      <c r="A81" s="45"/>
      <c r="B81" s="32"/>
      <c r="C81" s="32"/>
      <c r="D81" s="32"/>
      <c r="E81" s="32"/>
      <c r="F81" s="32"/>
      <c r="G81" s="32"/>
      <c r="H81" s="29"/>
      <c r="I81" s="29"/>
      <c r="J81" s="32"/>
      <c r="K81" s="52"/>
    </row>
    <row r="82" spans="1:11" s="346" customFormat="1" ht="15" x14ac:dyDescent="0.25">
      <c r="A82" s="44" t="s">
        <v>563</v>
      </c>
      <c r="B82" s="32"/>
      <c r="C82" s="32"/>
      <c r="D82" s="32"/>
      <c r="E82" s="32"/>
      <c r="F82" s="32"/>
      <c r="G82" s="32"/>
      <c r="H82" s="29"/>
      <c r="I82" s="29" t="s">
        <v>564</v>
      </c>
      <c r="J82" s="32"/>
      <c r="K82" s="52"/>
    </row>
    <row r="83" spans="1:11" s="346" customFormat="1" x14ac:dyDescent="0.2">
      <c r="A83" s="52"/>
      <c r="B83" s="52"/>
      <c r="C83" s="52"/>
      <c r="D83" s="52"/>
      <c r="E83" s="52"/>
      <c r="F83" s="52"/>
      <c r="G83" s="52"/>
      <c r="H83" s="361"/>
      <c r="I83" s="361"/>
      <c r="J83" s="52"/>
      <c r="K83" s="52"/>
    </row>
    <row r="84" spans="1:11" s="346" customFormat="1" ht="15" hidden="1" x14ac:dyDescent="0.25">
      <c r="A84" s="44" t="s">
        <v>90</v>
      </c>
      <c r="B84" s="52"/>
      <c r="C84" s="52"/>
      <c r="D84" s="52"/>
      <c r="E84" s="52"/>
      <c r="F84" s="52"/>
      <c r="G84" s="52"/>
      <c r="H84" s="361"/>
      <c r="I84" s="361" t="s">
        <v>91</v>
      </c>
      <c r="J84" s="52"/>
      <c r="K84" s="52"/>
    </row>
    <row r="85" spans="1:11" s="346" customFormat="1" hidden="1" x14ac:dyDescent="0.2">
      <c r="A85" s="52"/>
      <c r="B85" s="52"/>
      <c r="C85" s="52"/>
      <c r="D85" s="52"/>
      <c r="E85" s="52"/>
      <c r="F85" s="52"/>
      <c r="G85" s="52"/>
      <c r="H85" s="361"/>
      <c r="I85" s="361"/>
      <c r="J85" s="52"/>
      <c r="K85" s="52"/>
    </row>
    <row r="86" spans="1:11" s="346" customFormat="1" ht="15" hidden="1" x14ac:dyDescent="0.25">
      <c r="A86" s="44" t="s">
        <v>82</v>
      </c>
      <c r="B86" s="834"/>
      <c r="C86" s="834"/>
      <c r="D86" s="834"/>
      <c r="E86" s="32"/>
      <c r="F86" s="32"/>
      <c r="G86" s="32"/>
      <c r="H86" s="29"/>
      <c r="I86" s="31"/>
      <c r="J86" s="52"/>
      <c r="K86" s="52"/>
    </row>
    <row r="87" spans="1:11" s="346" customFormat="1" ht="15" hidden="1" x14ac:dyDescent="0.25">
      <c r="A87" s="44"/>
      <c r="B87" s="834"/>
      <c r="C87" s="834"/>
      <c r="D87" s="834"/>
      <c r="E87" s="32"/>
      <c r="F87" s="32"/>
      <c r="G87" s="32"/>
      <c r="H87" s="29"/>
      <c r="I87" s="31"/>
      <c r="J87" s="52"/>
      <c r="K87" s="52"/>
    </row>
    <row r="88" spans="1:11" s="346" customFormat="1" hidden="1" x14ac:dyDescent="0.2">
      <c r="A88" s="48" t="s">
        <v>64</v>
      </c>
      <c r="B88" s="32"/>
      <c r="C88" s="32"/>
      <c r="D88" s="32"/>
      <c r="E88" s="32"/>
      <c r="F88" s="32"/>
      <c r="G88" s="51">
        <v>19</v>
      </c>
      <c r="H88" s="29"/>
      <c r="I88" s="31" t="s">
        <v>71</v>
      </c>
      <c r="J88" s="52"/>
      <c r="K88" s="52"/>
    </row>
    <row r="89" spans="1:11" s="346" customFormat="1" hidden="1" x14ac:dyDescent="0.2">
      <c r="A89" s="48"/>
      <c r="B89" s="32"/>
      <c r="C89" s="32"/>
      <c r="D89" s="32"/>
      <c r="E89" s="32"/>
      <c r="F89" s="32"/>
      <c r="G89" s="51"/>
      <c r="H89" s="29"/>
      <c r="I89" s="29"/>
      <c r="J89" s="52"/>
      <c r="K89" s="52"/>
    </row>
    <row r="90" spans="1:11" s="346" customFormat="1" hidden="1" x14ac:dyDescent="0.2">
      <c r="A90" s="48" t="s">
        <v>66</v>
      </c>
      <c r="B90" s="52"/>
      <c r="C90" s="52"/>
      <c r="D90" s="32"/>
      <c r="E90" s="32"/>
      <c r="F90" s="32"/>
      <c r="G90" s="49">
        <v>19</v>
      </c>
      <c r="H90" s="361"/>
      <c r="I90" s="31" t="s">
        <v>73</v>
      </c>
      <c r="J90" s="52"/>
      <c r="K90" s="52"/>
    </row>
    <row r="91" spans="1:11" s="346" customFormat="1" hidden="1" x14ac:dyDescent="0.2">
      <c r="A91" s="48"/>
      <c r="B91" s="47"/>
      <c r="C91" s="52"/>
      <c r="D91" s="32"/>
      <c r="E91" s="32"/>
      <c r="F91" s="32"/>
      <c r="G91" s="51"/>
      <c r="H91" s="29"/>
      <c r="I91" s="835"/>
      <c r="J91" s="52"/>
      <c r="K91" s="52"/>
    </row>
    <row r="92" spans="1:11" s="346" customFormat="1" hidden="1" x14ac:dyDescent="0.2">
      <c r="A92" s="48" t="s">
        <v>68</v>
      </c>
      <c r="B92" s="47"/>
      <c r="C92" s="52"/>
      <c r="D92" s="32"/>
      <c r="E92" s="32"/>
      <c r="F92" s="32"/>
      <c r="G92" s="51">
        <v>19</v>
      </c>
      <c r="H92" s="29"/>
      <c r="I92" s="31" t="s">
        <v>92</v>
      </c>
      <c r="J92" s="52"/>
      <c r="K92" s="52"/>
    </row>
    <row r="93" spans="1:11" s="346" customFormat="1" hidden="1" x14ac:dyDescent="0.2">
      <c r="A93" s="48"/>
      <c r="B93" s="52"/>
      <c r="C93" s="52"/>
      <c r="D93" s="32"/>
      <c r="E93" s="32"/>
      <c r="F93" s="32"/>
      <c r="G93" s="49"/>
      <c r="H93" s="361"/>
      <c r="I93" s="835"/>
      <c r="J93" s="52"/>
      <c r="K93" s="52"/>
    </row>
    <row r="94" spans="1:11" s="346" customFormat="1" hidden="1" x14ac:dyDescent="0.2">
      <c r="A94" s="48" t="s">
        <v>70</v>
      </c>
      <c r="B94" s="52"/>
      <c r="C94" s="52"/>
      <c r="D94" s="32"/>
      <c r="E94" s="32"/>
      <c r="F94" s="32"/>
      <c r="G94" s="49">
        <v>19</v>
      </c>
      <c r="H94" s="361"/>
      <c r="I94" s="31" t="s">
        <v>93</v>
      </c>
      <c r="J94" s="52"/>
      <c r="K94" s="52"/>
    </row>
    <row r="95" spans="1:11" s="346" customFormat="1" hidden="1" x14ac:dyDescent="0.2">
      <c r="A95" s="48"/>
      <c r="B95" s="52"/>
      <c r="C95" s="52"/>
      <c r="D95" s="32"/>
      <c r="E95" s="32"/>
      <c r="F95" s="32"/>
      <c r="G95" s="49"/>
      <c r="H95" s="361"/>
      <c r="I95" s="835"/>
      <c r="J95" s="52"/>
      <c r="K95" s="52"/>
    </row>
    <row r="96" spans="1:11" s="346" customFormat="1" hidden="1" x14ac:dyDescent="0.2">
      <c r="A96" s="48" t="s">
        <v>72</v>
      </c>
      <c r="B96" s="52"/>
      <c r="C96" s="52"/>
      <c r="D96" s="32"/>
      <c r="E96" s="32"/>
      <c r="F96" s="32"/>
      <c r="G96" s="49">
        <v>19</v>
      </c>
      <c r="H96" s="361"/>
      <c r="I96" s="31" t="s">
        <v>94</v>
      </c>
      <c r="J96" s="52"/>
      <c r="K96" s="52"/>
    </row>
    <row r="97" spans="1:11" s="346" customFormat="1" hidden="1" x14ac:dyDescent="0.2">
      <c r="A97" s="52"/>
      <c r="B97" s="52"/>
      <c r="C97" s="52"/>
      <c r="D97" s="52"/>
      <c r="E97" s="52"/>
      <c r="F97" s="52"/>
      <c r="G97" s="52"/>
      <c r="H97" s="361"/>
      <c r="I97" s="361"/>
      <c r="J97" s="52"/>
      <c r="K97" s="52"/>
    </row>
    <row r="98" spans="1:11" s="346" customFormat="1" ht="15" x14ac:dyDescent="0.25">
      <c r="A98" s="44" t="s">
        <v>565</v>
      </c>
      <c r="B98" s="32"/>
      <c r="C98" s="32"/>
      <c r="D98" s="32"/>
      <c r="E98" s="32"/>
      <c r="F98" s="32"/>
      <c r="G98" s="32"/>
      <c r="H98" s="29"/>
      <c r="I98" s="29" t="s">
        <v>566</v>
      </c>
      <c r="J98" s="32"/>
      <c r="K98" s="52"/>
    </row>
    <row r="99" spans="1:11" s="346" customFormat="1" x14ac:dyDescent="0.2">
      <c r="A99" s="52"/>
      <c r="B99" s="52"/>
      <c r="C99" s="52"/>
      <c r="D99" s="52"/>
      <c r="E99" s="52"/>
      <c r="F99" s="52"/>
      <c r="G99" s="52"/>
      <c r="H99" s="361"/>
      <c r="I99" s="361"/>
      <c r="J99" s="52"/>
      <c r="K99" s="52"/>
    </row>
    <row r="100" spans="1:11" s="346" customFormat="1" ht="15" x14ac:dyDescent="0.25">
      <c r="A100" s="44" t="s">
        <v>82</v>
      </c>
      <c r="B100" s="32"/>
      <c r="C100" s="32"/>
      <c r="D100" s="32"/>
      <c r="E100" s="32"/>
      <c r="F100" s="32"/>
      <c r="G100" s="32"/>
      <c r="H100" s="29"/>
      <c r="I100" s="29" t="s">
        <v>567</v>
      </c>
      <c r="J100" s="32"/>
      <c r="K100" s="52"/>
    </row>
    <row r="101" spans="1:11" s="346" customFormat="1" x14ac:dyDescent="0.2">
      <c r="A101" s="52"/>
      <c r="B101" s="52"/>
      <c r="C101" s="52"/>
      <c r="D101" s="52"/>
      <c r="E101" s="52"/>
      <c r="F101" s="52"/>
      <c r="G101" s="52"/>
      <c r="H101" s="361"/>
      <c r="I101" s="361"/>
      <c r="J101" s="52"/>
      <c r="K101" s="52"/>
    </row>
    <row r="102" spans="1:11" s="346" customFormat="1" x14ac:dyDescent="0.2">
      <c r="H102" s="825"/>
      <c r="I102" s="825"/>
    </row>
    <row r="103" spans="1:11" s="346" customFormat="1" x14ac:dyDescent="0.2">
      <c r="H103" s="825"/>
      <c r="I103" s="825"/>
    </row>
    <row r="104" spans="1:11" s="346" customFormat="1" x14ac:dyDescent="0.2">
      <c r="H104" s="825"/>
      <c r="I104" s="825"/>
    </row>
    <row r="105" spans="1:11" s="346" customFormat="1" x14ac:dyDescent="0.2">
      <c r="H105" s="825"/>
      <c r="I105" s="825"/>
    </row>
    <row r="106" spans="1:11" s="346" customFormat="1" x14ac:dyDescent="0.2">
      <c r="H106" s="825"/>
      <c r="I106" s="825"/>
    </row>
    <row r="107" spans="1:11" s="346" customFormat="1" x14ac:dyDescent="0.2">
      <c r="H107" s="825"/>
      <c r="I107" s="825"/>
    </row>
    <row r="108" spans="1:11" s="346" customFormat="1" x14ac:dyDescent="0.2">
      <c r="H108" s="825"/>
      <c r="I108" s="825"/>
    </row>
    <row r="109" spans="1:11" s="346" customFormat="1" x14ac:dyDescent="0.2">
      <c r="H109" s="825"/>
      <c r="I109" s="825"/>
    </row>
    <row r="110" spans="1:11" s="346" customFormat="1" x14ac:dyDescent="0.2">
      <c r="H110" s="825"/>
      <c r="I110" s="825"/>
    </row>
    <row r="111" spans="1:11" s="346" customFormat="1" x14ac:dyDescent="0.2">
      <c r="H111" s="825"/>
      <c r="I111" s="825"/>
    </row>
  </sheetData>
  <mergeCells count="14">
    <mergeCell ref="A67:F68"/>
    <mergeCell ref="A4:H4"/>
    <mergeCell ref="A18:H18"/>
    <mergeCell ref="A31:F31"/>
    <mergeCell ref="A46:F46"/>
    <mergeCell ref="A5:H5"/>
    <mergeCell ref="A6:H6"/>
    <mergeCell ref="A7:H7"/>
    <mergeCell ref="A8:H8"/>
    <mergeCell ref="A9:H9"/>
    <mergeCell ref="A10:H10"/>
    <mergeCell ref="A12:H12"/>
    <mergeCell ref="A13:H13"/>
    <mergeCell ref="A11:H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2" firstPageNumber="5" orientation="portrait" useFirstPageNumber="1" r:id="rId1"/>
  <headerFooter>
    <oddFooter>&amp;L&amp;"Arial,Kurzíva"Zastupitelstvo Olomouckého kraje 16.12.2024
10.1. - Rozpočet Olomouckého kraje 2025 - návrh rozpočtu
Příloha č. 1: Návrh rozpočtu OK na rok 2024 (bilance) - zkrácená verze&amp;R&amp;"Arial,Kurzíva"Strana &amp;P (Celkem 205)</oddFooter>
  </headerFooter>
  <rowBreaks count="1" manualBreakCount="1">
    <brk id="4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FF"/>
  </sheetPr>
  <dimension ref="A1:AK203"/>
  <sheetViews>
    <sheetView view="pageBreakPreview" topLeftCell="A15" zoomScaleNormal="100" zoomScaleSheetLayoutView="100" workbookViewId="0">
      <selection activeCell="G51" sqref="G51:H51"/>
    </sheetView>
  </sheetViews>
  <sheetFormatPr defaultColWidth="9.140625" defaultRowHeight="14.25" x14ac:dyDescent="0.2"/>
  <cols>
    <col min="1" max="1" width="5.5703125" style="314" customWidth="1"/>
    <col min="2" max="2" width="8.5703125" style="339" customWidth="1"/>
    <col min="3" max="3" width="9.140625" style="339"/>
    <col min="4" max="4" width="58.7109375" style="119" customWidth="1"/>
    <col min="5" max="5" width="14.140625" style="119" customWidth="1"/>
    <col min="6" max="6" width="14.140625" style="217" customWidth="1"/>
    <col min="7" max="7" width="15" style="217" customWidth="1"/>
    <col min="8" max="8" width="9.140625" style="119" customWidth="1"/>
    <col min="9" max="9" width="17.5703125" style="52" customWidth="1"/>
    <col min="10" max="12" width="9.140625" style="52"/>
    <col min="13" max="13" width="13.28515625" style="52" customWidth="1"/>
    <col min="14" max="14" width="9.140625" style="52"/>
    <col min="15" max="15" width="8.85546875" style="52" customWidth="1"/>
    <col min="16" max="37" width="9.140625" style="52"/>
    <col min="38" max="16384" width="9.140625" style="119"/>
  </cols>
  <sheetData>
    <row r="1" spans="1:37" ht="20.25" x14ac:dyDescent="0.3">
      <c r="B1" s="218" t="s">
        <v>513</v>
      </c>
    </row>
    <row r="2" spans="1:37" ht="20.25" x14ac:dyDescent="0.3">
      <c r="B2" s="116" t="s">
        <v>362</v>
      </c>
      <c r="C2" s="35"/>
      <c r="D2" s="35"/>
      <c r="E2" s="35"/>
      <c r="F2" s="35"/>
      <c r="G2" s="117"/>
      <c r="H2" s="52"/>
    </row>
    <row r="3" spans="1:37" ht="15" x14ac:dyDescent="0.25">
      <c r="B3" s="35"/>
      <c r="C3" s="35"/>
      <c r="D3" s="35"/>
      <c r="E3" s="35"/>
      <c r="F3" s="35"/>
      <c r="G3" s="117"/>
      <c r="H3" s="52"/>
    </row>
    <row r="4" spans="1:37" x14ac:dyDescent="0.2">
      <c r="B4" s="316"/>
      <c r="C4" s="316"/>
      <c r="D4" s="52"/>
      <c r="E4" s="52"/>
      <c r="F4" s="117"/>
      <c r="G4" s="117"/>
      <c r="H4" s="52"/>
    </row>
    <row r="5" spans="1:37" ht="18" x14ac:dyDescent="0.25">
      <c r="B5" s="315" t="s">
        <v>569</v>
      </c>
      <c r="C5" s="35"/>
      <c r="D5" s="35"/>
      <c r="E5" s="35"/>
      <c r="F5" s="35"/>
      <c r="G5" s="117"/>
      <c r="H5" s="52"/>
    </row>
    <row r="6" spans="1:37" s="151" customFormat="1" ht="13.5" thickBot="1" x14ac:dyDescent="0.25">
      <c r="A6" s="314"/>
      <c r="B6" s="51"/>
      <c r="C6" s="51"/>
      <c r="D6" s="32"/>
      <c r="E6" s="32"/>
      <c r="F6" s="318"/>
      <c r="G6" s="318"/>
      <c r="H6" s="29" t="s">
        <v>96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151" customFormat="1" ht="39.75" thickTop="1" thickBot="1" x14ac:dyDescent="0.25">
      <c r="A7" s="314"/>
      <c r="B7" s="319" t="s">
        <v>97</v>
      </c>
      <c r="C7" s="320" t="s">
        <v>192</v>
      </c>
      <c r="D7" s="321" t="s">
        <v>99</v>
      </c>
      <c r="E7" s="110" t="s">
        <v>371</v>
      </c>
      <c r="F7" s="110" t="s">
        <v>382</v>
      </c>
      <c r="G7" s="110" t="s">
        <v>383</v>
      </c>
      <c r="H7" s="111" t="s">
        <v>2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328" customFormat="1" ht="13.5" thickTop="1" thickBot="1" x14ac:dyDescent="0.25">
      <c r="A8" s="322"/>
      <c r="B8" s="323">
        <v>1</v>
      </c>
      <c r="C8" s="324">
        <v>2</v>
      </c>
      <c r="D8" s="324">
        <v>3</v>
      </c>
      <c r="E8" s="325">
        <v>4</v>
      </c>
      <c r="F8" s="325">
        <v>5</v>
      </c>
      <c r="G8" s="325">
        <v>6</v>
      </c>
      <c r="H8" s="326" t="s">
        <v>100</v>
      </c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</row>
    <row r="9" spans="1:37" ht="15.75" thickTop="1" thickBot="1" x14ac:dyDescent="0.25">
      <c r="B9" s="329"/>
      <c r="C9" s="330">
        <v>81</v>
      </c>
      <c r="D9" s="331" t="s">
        <v>211</v>
      </c>
      <c r="E9" s="332">
        <v>850000</v>
      </c>
      <c r="F9" s="332">
        <v>638236</v>
      </c>
      <c r="G9" s="332">
        <f>SUM(G13)</f>
        <v>1900000</v>
      </c>
      <c r="H9" s="344">
        <f>G9/E9*100</f>
        <v>223.52941176470588</v>
      </c>
    </row>
    <row r="10" spans="1:37" ht="16.5" thickTop="1" thickBot="1" x14ac:dyDescent="0.3">
      <c r="B10" s="957" t="s">
        <v>106</v>
      </c>
      <c r="C10" s="958"/>
      <c r="D10" s="959"/>
      <c r="E10" s="334">
        <f>SUM(E9)</f>
        <v>850000</v>
      </c>
      <c r="F10" s="334">
        <f>SUM(F9:F9)</f>
        <v>638236</v>
      </c>
      <c r="G10" s="334">
        <f>SUM(G9:G9)</f>
        <v>1900000</v>
      </c>
      <c r="H10" s="335">
        <f>G10/E10*100</f>
        <v>223.52941176470588</v>
      </c>
    </row>
    <row r="11" spans="1:37" s="204" customFormat="1" ht="15.75" thickTop="1" x14ac:dyDescent="0.25">
      <c r="A11" s="333"/>
      <c r="B11" s="345"/>
      <c r="C11" s="345"/>
      <c r="D11" s="346"/>
      <c r="E11" s="346"/>
      <c r="F11" s="118"/>
      <c r="G11" s="117"/>
      <c r="H11" s="52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15" x14ac:dyDescent="0.25">
      <c r="B12" s="336" t="s">
        <v>190</v>
      </c>
      <c r="C12" s="345"/>
      <c r="D12" s="346"/>
      <c r="E12" s="346"/>
      <c r="F12" s="118"/>
      <c r="G12" s="118"/>
      <c r="H12" s="346"/>
    </row>
    <row r="13" spans="1:37" ht="15.75" thickBot="1" x14ac:dyDescent="0.3">
      <c r="B13" s="960" t="s">
        <v>363</v>
      </c>
      <c r="C13" s="961"/>
      <c r="D13" s="961"/>
      <c r="E13" s="961"/>
      <c r="F13" s="961"/>
      <c r="G13" s="938">
        <v>1900000</v>
      </c>
      <c r="H13" s="93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</row>
    <row r="14" spans="1:37" s="52" customFormat="1" ht="15" thickTop="1" x14ac:dyDescent="0.2">
      <c r="A14" s="338"/>
      <c r="B14" s="316"/>
      <c r="C14" s="316"/>
      <c r="F14" s="117"/>
      <c r="G14" s="117"/>
      <c r="I14" s="337"/>
    </row>
    <row r="15" spans="1:37" s="52" customFormat="1" x14ac:dyDescent="0.2">
      <c r="A15" s="338"/>
      <c r="B15" s="316"/>
      <c r="C15" s="316"/>
      <c r="F15" s="117"/>
      <c r="G15" s="117"/>
      <c r="I15" s="836"/>
    </row>
    <row r="16" spans="1:37" s="52" customFormat="1" x14ac:dyDescent="0.2">
      <c r="A16" s="338"/>
      <c r="B16" s="947" t="s">
        <v>12</v>
      </c>
      <c r="C16" s="947"/>
      <c r="D16" s="947"/>
      <c r="E16" s="947"/>
      <c r="F16" s="947"/>
      <c r="G16" s="118"/>
      <c r="H16" s="346"/>
      <c r="I16" s="836"/>
    </row>
    <row r="17" spans="1:9" s="52" customFormat="1" ht="19.5" x14ac:dyDescent="0.2">
      <c r="A17" s="338"/>
      <c r="B17" s="947"/>
      <c r="C17" s="947"/>
      <c r="D17" s="947"/>
      <c r="E17" s="947"/>
      <c r="F17" s="947"/>
      <c r="G17" s="118"/>
      <c r="H17" s="438" t="s">
        <v>204</v>
      </c>
      <c r="I17" s="836"/>
    </row>
    <row r="18" spans="1:9" s="52" customFormat="1" x14ac:dyDescent="0.2">
      <c r="A18" s="338"/>
      <c r="B18" s="345"/>
      <c r="C18" s="345"/>
      <c r="D18" s="346"/>
      <c r="E18" s="346"/>
      <c r="F18" s="118"/>
      <c r="G18" s="118"/>
      <c r="H18" s="346"/>
      <c r="I18" s="836"/>
    </row>
    <row r="19" spans="1:9" s="52" customFormat="1" x14ac:dyDescent="0.2">
      <c r="A19" s="338"/>
      <c r="B19" s="439" t="s">
        <v>193</v>
      </c>
      <c r="C19" s="576" t="s">
        <v>358</v>
      </c>
      <c r="D19" s="151"/>
      <c r="E19" s="346"/>
      <c r="F19" s="118"/>
      <c r="G19" s="118"/>
      <c r="H19" s="346"/>
      <c r="I19" s="836"/>
    </row>
    <row r="20" spans="1:9" s="52" customFormat="1" x14ac:dyDescent="0.2">
      <c r="A20" s="338"/>
      <c r="B20" s="439"/>
      <c r="C20" s="439" t="s">
        <v>203</v>
      </c>
      <c r="D20" s="151"/>
      <c r="E20" s="346"/>
      <c r="F20" s="118"/>
      <c r="G20" s="118"/>
      <c r="H20" s="346"/>
      <c r="I20" s="836"/>
    </row>
    <row r="21" spans="1:9" s="52" customFormat="1" x14ac:dyDescent="0.2">
      <c r="A21" s="338"/>
      <c r="B21" s="441"/>
      <c r="C21" s="441"/>
      <c r="D21" s="441"/>
      <c r="E21" s="346"/>
      <c r="F21" s="118"/>
      <c r="G21" s="118"/>
      <c r="H21" s="346"/>
      <c r="I21" s="836"/>
    </row>
    <row r="22" spans="1:9" s="52" customFormat="1" ht="15" thickBot="1" x14ac:dyDescent="0.25">
      <c r="A22" s="338"/>
      <c r="B22" s="51"/>
      <c r="C22" s="51"/>
      <c r="D22" s="32"/>
      <c r="E22" s="32"/>
      <c r="F22" s="318"/>
      <c r="G22" s="318"/>
      <c r="H22" s="29" t="s">
        <v>96</v>
      </c>
      <c r="I22" s="836"/>
    </row>
    <row r="23" spans="1:9" s="52" customFormat="1" ht="39.75" thickTop="1" thickBot="1" x14ac:dyDescent="0.25">
      <c r="A23" s="338"/>
      <c r="B23" s="319" t="s">
        <v>97</v>
      </c>
      <c r="C23" s="320" t="s">
        <v>192</v>
      </c>
      <c r="D23" s="321" t="s">
        <v>99</v>
      </c>
      <c r="E23" s="110" t="s">
        <v>371</v>
      </c>
      <c r="F23" s="110" t="s">
        <v>382</v>
      </c>
      <c r="G23" s="110" t="s">
        <v>383</v>
      </c>
      <c r="H23" s="111" t="s">
        <v>2</v>
      </c>
      <c r="I23" s="836"/>
    </row>
    <row r="24" spans="1:9" s="52" customFormat="1" ht="15.75" thickTop="1" thickBot="1" x14ac:dyDescent="0.25">
      <c r="A24" s="338"/>
      <c r="B24" s="323">
        <v>1</v>
      </c>
      <c r="C24" s="324">
        <v>2</v>
      </c>
      <c r="D24" s="324">
        <v>3</v>
      </c>
      <c r="E24" s="325">
        <v>4</v>
      </c>
      <c r="F24" s="325">
        <v>5</v>
      </c>
      <c r="G24" s="325">
        <v>6</v>
      </c>
      <c r="H24" s="326" t="s">
        <v>100</v>
      </c>
      <c r="I24" s="836"/>
    </row>
    <row r="25" spans="1:9" s="52" customFormat="1" ht="15.75" thickTop="1" thickBot="1" x14ac:dyDescent="0.25">
      <c r="A25" s="338"/>
      <c r="B25" s="340"/>
      <c r="C25" s="341">
        <v>81</v>
      </c>
      <c r="D25" s="342" t="s">
        <v>211</v>
      </c>
      <c r="E25" s="343">
        <v>0</v>
      </c>
      <c r="F25" s="343">
        <v>27716</v>
      </c>
      <c r="G25" s="343">
        <v>10000</v>
      </c>
      <c r="H25" s="344"/>
      <c r="I25" s="836"/>
    </row>
    <row r="26" spans="1:9" s="52" customFormat="1" ht="16.5" thickTop="1" thickBot="1" x14ac:dyDescent="0.3">
      <c r="A26" s="338"/>
      <c r="B26" s="957" t="s">
        <v>106</v>
      </c>
      <c r="C26" s="958"/>
      <c r="D26" s="959"/>
      <c r="E26" s="334">
        <f>SUM(E25:E25)</f>
        <v>0</v>
      </c>
      <c r="F26" s="334">
        <f>SUM(F25:F25)</f>
        <v>27716</v>
      </c>
      <c r="G26" s="334">
        <f>SUM(G25:G25)</f>
        <v>10000</v>
      </c>
      <c r="H26" s="335"/>
      <c r="I26" s="836"/>
    </row>
    <row r="27" spans="1:9" s="52" customFormat="1" ht="15" thickTop="1" x14ac:dyDescent="0.2">
      <c r="A27" s="338"/>
      <c r="B27" s="316"/>
      <c r="C27" s="316"/>
      <c r="F27" s="117"/>
      <c r="G27" s="117"/>
      <c r="I27" s="836"/>
    </row>
    <row r="28" spans="1:9" s="52" customFormat="1" ht="15" x14ac:dyDescent="0.25">
      <c r="A28" s="338"/>
      <c r="B28" s="336" t="s">
        <v>190</v>
      </c>
      <c r="C28" s="345"/>
      <c r="D28" s="346"/>
      <c r="E28" s="346"/>
      <c r="F28" s="118"/>
      <c r="G28" s="118"/>
      <c r="H28" s="346"/>
      <c r="I28" s="836"/>
    </row>
    <row r="29" spans="1:9" s="52" customFormat="1" ht="15.75" thickBot="1" x14ac:dyDescent="0.3">
      <c r="A29" s="338"/>
      <c r="B29" s="960" t="s">
        <v>363</v>
      </c>
      <c r="C29" s="961"/>
      <c r="D29" s="961"/>
      <c r="E29" s="961"/>
      <c r="F29" s="961"/>
      <c r="G29" s="938">
        <v>10000</v>
      </c>
      <c r="H29" s="938"/>
      <c r="I29" s="836"/>
    </row>
    <row r="30" spans="1:9" s="52" customFormat="1" ht="15" thickTop="1" x14ac:dyDescent="0.2">
      <c r="A30" s="338"/>
      <c r="B30" s="316"/>
      <c r="C30" s="316"/>
      <c r="F30" s="117"/>
      <c r="G30" s="117"/>
      <c r="I30" s="836"/>
    </row>
    <row r="31" spans="1:9" s="52" customFormat="1" x14ac:dyDescent="0.2">
      <c r="A31" s="338"/>
      <c r="B31" s="316"/>
      <c r="C31" s="316"/>
      <c r="F31" s="117"/>
      <c r="G31" s="117"/>
      <c r="I31" s="836"/>
    </row>
    <row r="32" spans="1:9" s="52" customFormat="1" x14ac:dyDescent="0.2">
      <c r="A32" s="338"/>
      <c r="B32" s="316"/>
      <c r="C32" s="316"/>
      <c r="F32" s="117"/>
      <c r="G32" s="117"/>
      <c r="I32" s="836"/>
    </row>
    <row r="33" spans="1:8" s="52" customFormat="1" x14ac:dyDescent="0.2">
      <c r="A33" s="338"/>
      <c r="B33" s="316"/>
      <c r="C33" s="316"/>
      <c r="F33" s="117"/>
      <c r="G33" s="117"/>
    </row>
    <row r="34" spans="1:8" s="52" customFormat="1" x14ac:dyDescent="0.2">
      <c r="A34" s="338"/>
      <c r="B34" s="316"/>
      <c r="C34" s="316"/>
      <c r="F34" s="117"/>
      <c r="G34" s="117"/>
    </row>
    <row r="35" spans="1:8" s="52" customFormat="1" ht="18" x14ac:dyDescent="0.25">
      <c r="A35" s="338"/>
      <c r="B35" s="315" t="s">
        <v>284</v>
      </c>
      <c r="C35" s="35"/>
      <c r="D35" s="35"/>
      <c r="E35" s="35"/>
      <c r="F35" s="35"/>
      <c r="G35" s="117"/>
    </row>
    <row r="36" spans="1:8" s="52" customFormat="1" ht="15.75" thickBot="1" x14ac:dyDescent="0.3">
      <c r="A36" s="338"/>
      <c r="B36" s="35"/>
      <c r="C36" s="35"/>
      <c r="D36" s="35"/>
      <c r="E36" s="35"/>
      <c r="F36" s="35"/>
      <c r="G36" s="117"/>
      <c r="H36" s="29" t="s">
        <v>96</v>
      </c>
    </row>
    <row r="37" spans="1:8" s="52" customFormat="1" ht="39.75" thickTop="1" thickBot="1" x14ac:dyDescent="0.25">
      <c r="A37" s="338"/>
      <c r="B37" s="319" t="s">
        <v>97</v>
      </c>
      <c r="C37" s="320" t="s">
        <v>192</v>
      </c>
      <c r="D37" s="321" t="s">
        <v>99</v>
      </c>
      <c r="E37" s="110" t="s">
        <v>371</v>
      </c>
      <c r="F37" s="110" t="s">
        <v>382</v>
      </c>
      <c r="G37" s="110" t="s">
        <v>383</v>
      </c>
      <c r="H37" s="111" t="s">
        <v>2</v>
      </c>
    </row>
    <row r="38" spans="1:8" s="52" customFormat="1" ht="15.75" thickTop="1" thickBot="1" x14ac:dyDescent="0.25">
      <c r="A38" s="338"/>
      <c r="B38" s="323">
        <v>1</v>
      </c>
      <c r="C38" s="324">
        <v>2</v>
      </c>
      <c r="D38" s="324">
        <v>3</v>
      </c>
      <c r="E38" s="325">
        <v>4</v>
      </c>
      <c r="F38" s="325">
        <v>5</v>
      </c>
      <c r="G38" s="325">
        <v>6</v>
      </c>
      <c r="H38" s="326" t="s">
        <v>100</v>
      </c>
    </row>
    <row r="39" spans="1:8" s="52" customFormat="1" ht="15" thickTop="1" x14ac:dyDescent="0.2">
      <c r="A39" s="338"/>
      <c r="B39" s="340"/>
      <c r="C39" s="341">
        <v>81</v>
      </c>
      <c r="D39" s="342" t="s">
        <v>211</v>
      </c>
      <c r="E39" s="343">
        <v>58182</v>
      </c>
      <c r="F39" s="343">
        <v>336991</v>
      </c>
      <c r="G39" s="343">
        <f>SUM(G44)</f>
        <v>47465</v>
      </c>
      <c r="H39" s="344">
        <f>G39/E39*100</f>
        <v>81.58021381183184</v>
      </c>
    </row>
    <row r="40" spans="1:8" s="52" customFormat="1" ht="15" thickBot="1" x14ac:dyDescent="0.25">
      <c r="A40" s="338"/>
      <c r="B40" s="340"/>
      <c r="C40" s="341">
        <v>82</v>
      </c>
      <c r="D40" s="189" t="s">
        <v>212</v>
      </c>
      <c r="E40" s="343">
        <v>186492</v>
      </c>
      <c r="F40" s="343">
        <v>186492</v>
      </c>
      <c r="G40" s="343">
        <f>SUM(G49)</f>
        <v>186492</v>
      </c>
      <c r="H40" s="344">
        <f>G40/E40*100</f>
        <v>100</v>
      </c>
    </row>
    <row r="41" spans="1:8" s="52" customFormat="1" ht="16.5" thickTop="1" thickBot="1" x14ac:dyDescent="0.3">
      <c r="A41" s="338"/>
      <c r="B41" s="957" t="s">
        <v>106</v>
      </c>
      <c r="C41" s="958"/>
      <c r="D41" s="959"/>
      <c r="E41" s="334">
        <f>SUM(E39:E40)</f>
        <v>244674</v>
      </c>
      <c r="F41" s="334">
        <f>SUM(F39:F40)</f>
        <v>523483</v>
      </c>
      <c r="G41" s="334">
        <f>SUM(G39:G40)</f>
        <v>233957</v>
      </c>
      <c r="H41" s="335">
        <f>G41/E41*100</f>
        <v>95.619886052461638</v>
      </c>
    </row>
    <row r="42" spans="1:8" s="52" customFormat="1" ht="15" thickTop="1" x14ac:dyDescent="0.2">
      <c r="A42" s="338"/>
      <c r="B42" s="316"/>
      <c r="C42" s="316"/>
      <c r="F42" s="117"/>
      <c r="G42" s="117"/>
    </row>
    <row r="43" spans="1:8" s="52" customFormat="1" ht="15" x14ac:dyDescent="0.25">
      <c r="A43" s="338"/>
      <c r="B43" s="336" t="s">
        <v>190</v>
      </c>
      <c r="C43" s="345"/>
      <c r="D43" s="346"/>
      <c r="E43" s="346"/>
      <c r="F43" s="118"/>
      <c r="G43" s="118"/>
      <c r="H43" s="346"/>
    </row>
    <row r="44" spans="1:8" s="52" customFormat="1" ht="15.75" customHeight="1" thickBot="1" x14ac:dyDescent="0.3">
      <c r="A44" s="338"/>
      <c r="B44" s="960" t="s">
        <v>213</v>
      </c>
      <c r="C44" s="961"/>
      <c r="D44" s="961"/>
      <c r="E44" s="961"/>
      <c r="F44" s="961"/>
      <c r="G44" s="938">
        <f>SUM(G45)</f>
        <v>47465</v>
      </c>
      <c r="H44" s="938"/>
    </row>
    <row r="45" spans="1:8" s="52" customFormat="1" ht="15.75" thickTop="1" x14ac:dyDescent="0.25">
      <c r="A45" s="338"/>
      <c r="B45" s="347" t="s">
        <v>214</v>
      </c>
      <c r="C45" s="316"/>
      <c r="F45" s="117"/>
      <c r="G45" s="945">
        <f>SUM(G46:H47)</f>
        <v>47465</v>
      </c>
      <c r="H45" s="946"/>
    </row>
    <row r="46" spans="1:8" s="52" customFormat="1" ht="15" x14ac:dyDescent="0.25">
      <c r="A46" s="338"/>
      <c r="B46" s="317" t="s">
        <v>364</v>
      </c>
      <c r="C46" s="316"/>
      <c r="F46" s="117"/>
      <c r="G46" s="951">
        <v>9090</v>
      </c>
      <c r="H46" s="956"/>
    </row>
    <row r="47" spans="1:8" s="52" customFormat="1" ht="15" x14ac:dyDescent="0.25">
      <c r="A47" s="338"/>
      <c r="B47" s="317" t="s">
        <v>365</v>
      </c>
      <c r="C47" s="316"/>
      <c r="F47" s="117"/>
      <c r="G47" s="951">
        <v>38375</v>
      </c>
      <c r="H47" s="956"/>
    </row>
    <row r="48" spans="1:8" s="52" customFormat="1" ht="15.75" customHeight="1" x14ac:dyDescent="0.25">
      <c r="A48" s="338"/>
      <c r="B48" s="347"/>
      <c r="C48" s="316"/>
      <c r="F48" s="117"/>
      <c r="G48" s="117"/>
    </row>
    <row r="49" spans="1:8" s="52" customFormat="1" ht="15.75" customHeight="1" thickBot="1" x14ac:dyDescent="0.3">
      <c r="A49" s="338"/>
      <c r="B49" s="960" t="s">
        <v>215</v>
      </c>
      <c r="C49" s="961"/>
      <c r="D49" s="961"/>
      <c r="E49" s="961"/>
      <c r="F49" s="961"/>
      <c r="G49" s="938">
        <f>SUM(G50)</f>
        <v>186492</v>
      </c>
      <c r="H49" s="938"/>
    </row>
    <row r="50" spans="1:8" s="52" customFormat="1" ht="15.75" customHeight="1" thickTop="1" x14ac:dyDescent="0.25">
      <c r="A50" s="338"/>
      <c r="B50" s="347" t="s">
        <v>214</v>
      </c>
      <c r="C50" s="316"/>
      <c r="F50" s="117"/>
      <c r="G50" s="945">
        <f>SUM(G51:H52)</f>
        <v>186492</v>
      </c>
      <c r="H50" s="946"/>
    </row>
    <row r="51" spans="1:8" s="52" customFormat="1" ht="15" customHeight="1" x14ac:dyDescent="0.25">
      <c r="A51" s="338"/>
      <c r="B51" s="317" t="s">
        <v>216</v>
      </c>
      <c r="C51" s="316"/>
      <c r="F51" s="117"/>
      <c r="G51" s="951">
        <v>43634</v>
      </c>
      <c r="H51" s="956"/>
    </row>
    <row r="52" spans="1:8" s="52" customFormat="1" ht="15" customHeight="1" x14ac:dyDescent="0.25">
      <c r="A52" s="338"/>
      <c r="B52" s="962" t="s">
        <v>217</v>
      </c>
      <c r="C52" s="963"/>
      <c r="D52" s="963"/>
      <c r="E52" s="963"/>
      <c r="F52" s="964"/>
      <c r="G52" s="954">
        <v>142858</v>
      </c>
      <c r="H52" s="955"/>
    </row>
    <row r="53" spans="1:8" s="52" customFormat="1" x14ac:dyDescent="0.2">
      <c r="A53" s="338"/>
      <c r="B53" s="316"/>
      <c r="C53" s="316"/>
      <c r="F53" s="117"/>
      <c r="G53" s="117"/>
    </row>
    <row r="54" spans="1:8" s="52" customFormat="1" x14ac:dyDescent="0.2">
      <c r="A54" s="338"/>
      <c r="B54" s="316"/>
      <c r="C54" s="316"/>
      <c r="F54" s="117"/>
      <c r="G54" s="117"/>
    </row>
    <row r="55" spans="1:8" s="52" customFormat="1" x14ac:dyDescent="0.2">
      <c r="A55" s="338"/>
      <c r="B55" s="316"/>
      <c r="C55" s="316"/>
      <c r="F55" s="117"/>
      <c r="G55" s="117"/>
    </row>
    <row r="56" spans="1:8" s="52" customFormat="1" x14ac:dyDescent="0.2">
      <c r="A56" s="338"/>
      <c r="B56" s="316"/>
      <c r="C56" s="316"/>
      <c r="F56" s="117"/>
      <c r="G56" s="117"/>
    </row>
    <row r="57" spans="1:8" s="52" customFormat="1" x14ac:dyDescent="0.2">
      <c r="A57" s="338"/>
      <c r="B57" s="316"/>
      <c r="C57" s="316"/>
      <c r="F57" s="117"/>
      <c r="G57" s="117"/>
    </row>
    <row r="58" spans="1:8" s="52" customFormat="1" x14ac:dyDescent="0.2">
      <c r="A58" s="338"/>
      <c r="B58" s="316"/>
      <c r="C58" s="316"/>
      <c r="F58" s="117"/>
      <c r="G58" s="117"/>
    </row>
    <row r="59" spans="1:8" s="52" customFormat="1" x14ac:dyDescent="0.2">
      <c r="A59" s="338"/>
      <c r="B59" s="316"/>
      <c r="C59" s="316"/>
      <c r="F59" s="117"/>
      <c r="G59" s="117"/>
    </row>
    <row r="60" spans="1:8" s="52" customFormat="1" x14ac:dyDescent="0.2">
      <c r="A60" s="338"/>
      <c r="B60" s="316"/>
      <c r="C60" s="316"/>
      <c r="F60" s="117"/>
      <c r="G60" s="117"/>
    </row>
    <row r="61" spans="1:8" s="52" customFormat="1" x14ac:dyDescent="0.2">
      <c r="A61" s="338"/>
      <c r="B61" s="316"/>
      <c r="C61" s="316"/>
      <c r="F61" s="117"/>
      <c r="G61" s="117"/>
    </row>
    <row r="62" spans="1:8" s="52" customFormat="1" x14ac:dyDescent="0.2">
      <c r="A62" s="338"/>
      <c r="B62" s="316"/>
      <c r="C62" s="316"/>
      <c r="F62" s="117"/>
      <c r="G62" s="117"/>
    </row>
    <row r="63" spans="1:8" s="52" customFormat="1" x14ac:dyDescent="0.2">
      <c r="A63" s="338"/>
      <c r="B63" s="316"/>
      <c r="C63" s="316"/>
      <c r="F63" s="117"/>
      <c r="G63" s="117"/>
    </row>
    <row r="64" spans="1:8" s="52" customFormat="1" x14ac:dyDescent="0.2">
      <c r="A64" s="338"/>
      <c r="B64" s="316"/>
      <c r="C64" s="316"/>
      <c r="F64" s="117"/>
      <c r="G64" s="117"/>
    </row>
    <row r="65" spans="1:7" s="52" customFormat="1" x14ac:dyDescent="0.2">
      <c r="A65" s="338"/>
      <c r="B65" s="316"/>
      <c r="C65" s="316"/>
      <c r="F65" s="117"/>
      <c r="G65" s="117"/>
    </row>
    <row r="66" spans="1:7" s="52" customFormat="1" x14ac:dyDescent="0.2">
      <c r="A66" s="338"/>
      <c r="B66" s="316"/>
      <c r="C66" s="316"/>
      <c r="F66" s="117"/>
      <c r="G66" s="117"/>
    </row>
    <row r="67" spans="1:7" s="52" customFormat="1" x14ac:dyDescent="0.2">
      <c r="A67" s="338"/>
      <c r="B67" s="316"/>
      <c r="C67" s="316"/>
      <c r="F67" s="117"/>
      <c r="G67" s="117"/>
    </row>
    <row r="68" spans="1:7" s="52" customFormat="1" x14ac:dyDescent="0.2">
      <c r="A68" s="338"/>
      <c r="B68" s="316"/>
      <c r="C68" s="316"/>
      <c r="F68" s="117"/>
      <c r="G68" s="117"/>
    </row>
    <row r="69" spans="1:7" s="52" customFormat="1" x14ac:dyDescent="0.2">
      <c r="A69" s="338"/>
      <c r="B69" s="316"/>
      <c r="C69" s="316"/>
      <c r="F69" s="117"/>
      <c r="G69" s="117"/>
    </row>
    <row r="70" spans="1:7" s="52" customFormat="1" x14ac:dyDescent="0.2">
      <c r="A70" s="338"/>
      <c r="B70" s="316"/>
      <c r="C70" s="316"/>
      <c r="F70" s="117"/>
      <c r="G70" s="117"/>
    </row>
    <row r="71" spans="1:7" s="52" customFormat="1" x14ac:dyDescent="0.2">
      <c r="A71" s="338"/>
      <c r="B71" s="316"/>
      <c r="C71" s="316"/>
      <c r="F71" s="117"/>
      <c r="G71" s="117"/>
    </row>
    <row r="72" spans="1:7" s="52" customFormat="1" x14ac:dyDescent="0.2">
      <c r="A72" s="338"/>
      <c r="B72" s="316"/>
      <c r="C72" s="316"/>
      <c r="F72" s="117"/>
      <c r="G72" s="117"/>
    </row>
    <row r="73" spans="1:7" s="52" customFormat="1" x14ac:dyDescent="0.2">
      <c r="A73" s="338"/>
      <c r="B73" s="316"/>
      <c r="C73" s="316"/>
      <c r="F73" s="117"/>
      <c r="G73" s="117"/>
    </row>
    <row r="74" spans="1:7" s="52" customFormat="1" x14ac:dyDescent="0.2">
      <c r="A74" s="338"/>
      <c r="B74" s="316"/>
      <c r="C74" s="316"/>
      <c r="F74" s="117"/>
      <c r="G74" s="117"/>
    </row>
    <row r="75" spans="1:7" s="52" customFormat="1" x14ac:dyDescent="0.2">
      <c r="A75" s="338"/>
      <c r="B75" s="316"/>
      <c r="C75" s="316"/>
      <c r="F75" s="117"/>
      <c r="G75" s="117"/>
    </row>
    <row r="76" spans="1:7" s="52" customFormat="1" x14ac:dyDescent="0.2">
      <c r="A76" s="338"/>
      <c r="B76" s="316"/>
      <c r="C76" s="316"/>
      <c r="F76" s="117"/>
      <c r="G76" s="117"/>
    </row>
    <row r="77" spans="1:7" s="52" customFormat="1" x14ac:dyDescent="0.2">
      <c r="A77" s="338"/>
      <c r="B77" s="316"/>
      <c r="C77" s="316"/>
      <c r="F77" s="117"/>
      <c r="G77" s="117"/>
    </row>
    <row r="78" spans="1:7" s="52" customFormat="1" x14ac:dyDescent="0.2">
      <c r="A78" s="338"/>
      <c r="B78" s="316"/>
      <c r="C78" s="316"/>
      <c r="F78" s="117"/>
      <c r="G78" s="117"/>
    </row>
    <row r="79" spans="1:7" s="52" customFormat="1" x14ac:dyDescent="0.2">
      <c r="A79" s="338"/>
      <c r="B79" s="316"/>
      <c r="C79" s="316"/>
      <c r="F79" s="117"/>
      <c r="G79" s="117"/>
    </row>
    <row r="80" spans="1:7" s="52" customFormat="1" x14ac:dyDescent="0.2">
      <c r="A80" s="338"/>
      <c r="B80" s="316"/>
      <c r="C80" s="316"/>
      <c r="F80" s="117"/>
      <c r="G80" s="117"/>
    </row>
    <row r="81" spans="1:7" s="52" customFormat="1" x14ac:dyDescent="0.2">
      <c r="A81" s="338"/>
      <c r="B81" s="316"/>
      <c r="C81" s="316"/>
      <c r="F81" s="117"/>
      <c r="G81" s="117"/>
    </row>
    <row r="82" spans="1:7" s="52" customFormat="1" x14ac:dyDescent="0.2">
      <c r="A82" s="338"/>
      <c r="B82" s="316"/>
      <c r="C82" s="316"/>
      <c r="F82" s="117"/>
      <c r="G82" s="117"/>
    </row>
    <row r="83" spans="1:7" s="52" customFormat="1" x14ac:dyDescent="0.2">
      <c r="A83" s="338"/>
      <c r="B83" s="316"/>
      <c r="C83" s="316"/>
      <c r="F83" s="117"/>
      <c r="G83" s="117"/>
    </row>
    <row r="84" spans="1:7" s="52" customFormat="1" x14ac:dyDescent="0.2">
      <c r="A84" s="338"/>
      <c r="B84" s="316"/>
      <c r="C84" s="316"/>
      <c r="F84" s="117"/>
      <c r="G84" s="117"/>
    </row>
    <row r="85" spans="1:7" s="52" customFormat="1" x14ac:dyDescent="0.2">
      <c r="A85" s="338"/>
      <c r="B85" s="316"/>
      <c r="C85" s="316"/>
      <c r="F85" s="117"/>
      <c r="G85" s="117"/>
    </row>
    <row r="86" spans="1:7" s="52" customFormat="1" x14ac:dyDescent="0.2">
      <c r="A86" s="338"/>
      <c r="B86" s="316"/>
      <c r="C86" s="316"/>
      <c r="F86" s="117"/>
      <c r="G86" s="117"/>
    </row>
    <row r="87" spans="1:7" s="52" customFormat="1" x14ac:dyDescent="0.2">
      <c r="A87" s="338"/>
      <c r="B87" s="316"/>
      <c r="C87" s="316"/>
      <c r="F87" s="117"/>
      <c r="G87" s="117"/>
    </row>
    <row r="88" spans="1:7" s="52" customFormat="1" x14ac:dyDescent="0.2">
      <c r="A88" s="338"/>
      <c r="B88" s="316"/>
      <c r="C88" s="316"/>
      <c r="F88" s="117"/>
      <c r="G88" s="117"/>
    </row>
    <row r="89" spans="1:7" s="52" customFormat="1" x14ac:dyDescent="0.2">
      <c r="A89" s="338"/>
      <c r="B89" s="316"/>
      <c r="C89" s="316"/>
      <c r="F89" s="117"/>
      <c r="G89" s="117"/>
    </row>
    <row r="90" spans="1:7" s="52" customFormat="1" x14ac:dyDescent="0.2">
      <c r="A90" s="338"/>
      <c r="B90" s="316"/>
      <c r="C90" s="316"/>
      <c r="F90" s="117"/>
      <c r="G90" s="117"/>
    </row>
    <row r="91" spans="1:7" s="52" customFormat="1" x14ac:dyDescent="0.2">
      <c r="A91" s="338"/>
      <c r="B91" s="316"/>
      <c r="C91" s="316"/>
      <c r="F91" s="117"/>
      <c r="G91" s="117"/>
    </row>
    <row r="92" spans="1:7" s="52" customFormat="1" x14ac:dyDescent="0.2">
      <c r="A92" s="338"/>
      <c r="B92" s="316"/>
      <c r="C92" s="316"/>
      <c r="F92" s="117"/>
      <c r="G92" s="117"/>
    </row>
    <row r="93" spans="1:7" s="52" customFormat="1" x14ac:dyDescent="0.2">
      <c r="A93" s="338"/>
      <c r="B93" s="316"/>
      <c r="C93" s="316"/>
      <c r="F93" s="117"/>
      <c r="G93" s="117"/>
    </row>
    <row r="94" spans="1:7" s="52" customFormat="1" x14ac:dyDescent="0.2">
      <c r="A94" s="338"/>
      <c r="B94" s="316"/>
      <c r="C94" s="316"/>
      <c r="F94" s="117"/>
      <c r="G94" s="117"/>
    </row>
    <row r="95" spans="1:7" s="52" customFormat="1" x14ac:dyDescent="0.2">
      <c r="A95" s="338"/>
      <c r="B95" s="316"/>
      <c r="C95" s="316"/>
      <c r="F95" s="117"/>
      <c r="G95" s="117"/>
    </row>
    <row r="96" spans="1:7" s="52" customFormat="1" x14ac:dyDescent="0.2">
      <c r="A96" s="338"/>
      <c r="B96" s="316"/>
      <c r="C96" s="316"/>
      <c r="F96" s="117"/>
      <c r="G96" s="117"/>
    </row>
    <row r="97" spans="1:7" s="52" customFormat="1" x14ac:dyDescent="0.2">
      <c r="A97" s="338"/>
      <c r="B97" s="316"/>
      <c r="C97" s="316"/>
      <c r="F97" s="117"/>
      <c r="G97" s="117"/>
    </row>
    <row r="98" spans="1:7" s="52" customFormat="1" x14ac:dyDescent="0.2">
      <c r="A98" s="338"/>
      <c r="B98" s="316"/>
      <c r="C98" s="316"/>
      <c r="F98" s="117"/>
      <c r="G98" s="117"/>
    </row>
    <row r="99" spans="1:7" s="52" customFormat="1" x14ac:dyDescent="0.2">
      <c r="A99" s="338"/>
      <c r="B99" s="316"/>
      <c r="C99" s="316"/>
      <c r="F99" s="117"/>
      <c r="G99" s="117"/>
    </row>
    <row r="100" spans="1:7" s="52" customFormat="1" x14ac:dyDescent="0.2">
      <c r="A100" s="338"/>
      <c r="B100" s="316"/>
      <c r="C100" s="316"/>
      <c r="F100" s="117"/>
      <c r="G100" s="117"/>
    </row>
    <row r="101" spans="1:7" s="52" customFormat="1" x14ac:dyDescent="0.2">
      <c r="A101" s="338"/>
      <c r="B101" s="316"/>
      <c r="C101" s="316"/>
      <c r="F101" s="117"/>
      <c r="G101" s="117"/>
    </row>
    <row r="102" spans="1:7" s="52" customFormat="1" x14ac:dyDescent="0.2">
      <c r="A102" s="338"/>
      <c r="B102" s="316"/>
      <c r="C102" s="316"/>
      <c r="F102" s="117"/>
      <c r="G102" s="117"/>
    </row>
    <row r="103" spans="1:7" s="52" customFormat="1" x14ac:dyDescent="0.2">
      <c r="A103" s="338"/>
      <c r="B103" s="316"/>
      <c r="C103" s="316"/>
      <c r="F103" s="117"/>
      <c r="G103" s="117"/>
    </row>
    <row r="104" spans="1:7" s="52" customFormat="1" x14ac:dyDescent="0.2">
      <c r="A104" s="338"/>
      <c r="B104" s="316"/>
      <c r="C104" s="316"/>
      <c r="F104" s="117"/>
      <c r="G104" s="117"/>
    </row>
    <row r="105" spans="1:7" s="52" customFormat="1" x14ac:dyDescent="0.2">
      <c r="A105" s="338"/>
      <c r="B105" s="316"/>
      <c r="C105" s="316"/>
      <c r="F105" s="117"/>
      <c r="G105" s="117"/>
    </row>
    <row r="106" spans="1:7" s="52" customFormat="1" x14ac:dyDescent="0.2">
      <c r="A106" s="338"/>
      <c r="B106" s="316"/>
      <c r="C106" s="316"/>
      <c r="F106" s="117"/>
      <c r="G106" s="117"/>
    </row>
    <row r="107" spans="1:7" s="52" customFormat="1" x14ac:dyDescent="0.2">
      <c r="A107" s="338"/>
      <c r="B107" s="316"/>
      <c r="C107" s="316"/>
      <c r="F107" s="117"/>
      <c r="G107" s="117"/>
    </row>
    <row r="108" spans="1:7" s="52" customFormat="1" x14ac:dyDescent="0.2">
      <c r="A108" s="338"/>
      <c r="B108" s="316"/>
      <c r="C108" s="316"/>
      <c r="F108" s="117"/>
      <c r="G108" s="117"/>
    </row>
    <row r="109" spans="1:7" s="52" customFormat="1" x14ac:dyDescent="0.2">
      <c r="A109" s="338"/>
      <c r="B109" s="316"/>
      <c r="C109" s="316"/>
      <c r="F109" s="117"/>
      <c r="G109" s="117"/>
    </row>
    <row r="110" spans="1:7" s="52" customFormat="1" x14ac:dyDescent="0.2">
      <c r="A110" s="338"/>
      <c r="B110" s="316"/>
      <c r="C110" s="316"/>
      <c r="F110" s="117"/>
      <c r="G110" s="117"/>
    </row>
    <row r="111" spans="1:7" s="52" customFormat="1" x14ac:dyDescent="0.2">
      <c r="A111" s="338"/>
      <c r="B111" s="316"/>
      <c r="C111" s="316"/>
      <c r="F111" s="117"/>
      <c r="G111" s="117"/>
    </row>
    <row r="112" spans="1:7" s="52" customFormat="1" x14ac:dyDescent="0.2">
      <c r="A112" s="338"/>
      <c r="B112" s="316"/>
      <c r="C112" s="316"/>
      <c r="F112" s="117"/>
      <c r="G112" s="117"/>
    </row>
    <row r="113" spans="1:7" s="52" customFormat="1" x14ac:dyDescent="0.2">
      <c r="A113" s="338"/>
      <c r="B113" s="316"/>
      <c r="C113" s="316"/>
      <c r="F113" s="117"/>
      <c r="G113" s="117"/>
    </row>
    <row r="114" spans="1:7" s="52" customFormat="1" x14ac:dyDescent="0.2">
      <c r="A114" s="338"/>
      <c r="B114" s="316"/>
      <c r="C114" s="316"/>
      <c r="F114" s="117"/>
      <c r="G114" s="117"/>
    </row>
    <row r="115" spans="1:7" s="52" customFormat="1" x14ac:dyDescent="0.2">
      <c r="A115" s="338"/>
      <c r="B115" s="316"/>
      <c r="C115" s="316"/>
      <c r="F115" s="117"/>
      <c r="G115" s="117"/>
    </row>
    <row r="116" spans="1:7" s="52" customFormat="1" x14ac:dyDescent="0.2">
      <c r="A116" s="338"/>
      <c r="B116" s="316"/>
      <c r="C116" s="316"/>
      <c r="F116" s="117"/>
      <c r="G116" s="117"/>
    </row>
    <row r="117" spans="1:7" s="52" customFormat="1" x14ac:dyDescent="0.2">
      <c r="A117" s="338"/>
      <c r="B117" s="316"/>
      <c r="C117" s="316"/>
      <c r="F117" s="117"/>
      <c r="G117" s="117"/>
    </row>
    <row r="118" spans="1:7" s="52" customFormat="1" x14ac:dyDescent="0.2">
      <c r="A118" s="338"/>
      <c r="B118" s="316"/>
      <c r="C118" s="316"/>
      <c r="F118" s="117"/>
      <c r="G118" s="117"/>
    </row>
    <row r="119" spans="1:7" s="52" customFormat="1" x14ac:dyDescent="0.2">
      <c r="A119" s="338"/>
      <c r="B119" s="316"/>
      <c r="C119" s="316"/>
      <c r="F119" s="117"/>
      <c r="G119" s="117"/>
    </row>
    <row r="120" spans="1:7" s="52" customFormat="1" x14ac:dyDescent="0.2">
      <c r="A120" s="338"/>
      <c r="B120" s="316"/>
      <c r="C120" s="316"/>
      <c r="F120" s="117"/>
      <c r="G120" s="117"/>
    </row>
    <row r="121" spans="1:7" s="52" customFormat="1" x14ac:dyDescent="0.2">
      <c r="A121" s="338"/>
      <c r="B121" s="316"/>
      <c r="C121" s="316"/>
      <c r="F121" s="117"/>
      <c r="G121" s="117"/>
    </row>
    <row r="122" spans="1:7" s="52" customFormat="1" x14ac:dyDescent="0.2">
      <c r="A122" s="338"/>
      <c r="B122" s="316"/>
      <c r="C122" s="316"/>
      <c r="F122" s="117"/>
      <c r="G122" s="117"/>
    </row>
    <row r="123" spans="1:7" s="52" customFormat="1" x14ac:dyDescent="0.2">
      <c r="A123" s="338"/>
      <c r="B123" s="316"/>
      <c r="C123" s="316"/>
      <c r="F123" s="117"/>
      <c r="G123" s="117"/>
    </row>
    <row r="124" spans="1:7" s="52" customFormat="1" x14ac:dyDescent="0.2">
      <c r="A124" s="338"/>
      <c r="B124" s="316"/>
      <c r="C124" s="316"/>
      <c r="F124" s="117"/>
      <c r="G124" s="117"/>
    </row>
    <row r="125" spans="1:7" s="52" customFormat="1" x14ac:dyDescent="0.2">
      <c r="A125" s="338"/>
      <c r="B125" s="316"/>
      <c r="C125" s="316"/>
      <c r="F125" s="117"/>
      <c r="G125" s="117"/>
    </row>
    <row r="126" spans="1:7" s="52" customFormat="1" x14ac:dyDescent="0.2">
      <c r="A126" s="338"/>
      <c r="B126" s="316"/>
      <c r="C126" s="316"/>
      <c r="F126" s="117"/>
      <c r="G126" s="117"/>
    </row>
    <row r="127" spans="1:7" s="52" customFormat="1" x14ac:dyDescent="0.2">
      <c r="A127" s="338"/>
      <c r="B127" s="316"/>
      <c r="C127" s="316"/>
      <c r="F127" s="117"/>
      <c r="G127" s="117"/>
    </row>
    <row r="128" spans="1:7" s="52" customFormat="1" x14ac:dyDescent="0.2">
      <c r="A128" s="338"/>
      <c r="B128" s="316"/>
      <c r="C128" s="316"/>
      <c r="F128" s="117"/>
      <c r="G128" s="117"/>
    </row>
    <row r="129" spans="1:7" s="52" customFormat="1" x14ac:dyDescent="0.2">
      <c r="A129" s="338"/>
      <c r="B129" s="316"/>
      <c r="C129" s="316"/>
      <c r="F129" s="117"/>
      <c r="G129" s="117"/>
    </row>
    <row r="130" spans="1:7" s="52" customFormat="1" x14ac:dyDescent="0.2">
      <c r="A130" s="338"/>
      <c r="B130" s="316"/>
      <c r="C130" s="316"/>
      <c r="F130" s="117"/>
      <c r="G130" s="117"/>
    </row>
    <row r="131" spans="1:7" s="52" customFormat="1" x14ac:dyDescent="0.2">
      <c r="A131" s="338"/>
      <c r="B131" s="316"/>
      <c r="C131" s="316"/>
      <c r="F131" s="117"/>
      <c r="G131" s="117"/>
    </row>
    <row r="132" spans="1:7" s="52" customFormat="1" x14ac:dyDescent="0.2">
      <c r="A132" s="338"/>
      <c r="B132" s="316"/>
      <c r="C132" s="316"/>
      <c r="F132" s="117"/>
      <c r="G132" s="117"/>
    </row>
    <row r="133" spans="1:7" s="52" customFormat="1" x14ac:dyDescent="0.2">
      <c r="A133" s="338"/>
      <c r="B133" s="316"/>
      <c r="C133" s="316"/>
      <c r="F133" s="117"/>
      <c r="G133" s="117"/>
    </row>
    <row r="134" spans="1:7" s="52" customFormat="1" x14ac:dyDescent="0.2">
      <c r="A134" s="338"/>
      <c r="B134" s="316"/>
      <c r="C134" s="316"/>
      <c r="F134" s="117"/>
      <c r="G134" s="117"/>
    </row>
    <row r="135" spans="1:7" s="52" customFormat="1" x14ac:dyDescent="0.2">
      <c r="A135" s="338"/>
      <c r="B135" s="316"/>
      <c r="C135" s="316"/>
      <c r="F135" s="117"/>
      <c r="G135" s="117"/>
    </row>
    <row r="136" spans="1:7" s="52" customFormat="1" x14ac:dyDescent="0.2">
      <c r="A136" s="338"/>
      <c r="B136" s="316"/>
      <c r="C136" s="316"/>
      <c r="F136" s="117"/>
      <c r="G136" s="117"/>
    </row>
    <row r="137" spans="1:7" s="52" customFormat="1" x14ac:dyDescent="0.2">
      <c r="A137" s="338"/>
      <c r="B137" s="316"/>
      <c r="C137" s="316"/>
      <c r="F137" s="117"/>
      <c r="G137" s="117"/>
    </row>
    <row r="138" spans="1:7" s="52" customFormat="1" x14ac:dyDescent="0.2">
      <c r="A138" s="338"/>
      <c r="B138" s="316"/>
      <c r="C138" s="316"/>
      <c r="F138" s="117"/>
      <c r="G138" s="117"/>
    </row>
    <row r="139" spans="1:7" s="52" customFormat="1" x14ac:dyDescent="0.2">
      <c r="A139" s="338"/>
      <c r="B139" s="316"/>
      <c r="C139" s="316"/>
      <c r="F139" s="117"/>
      <c r="G139" s="117"/>
    </row>
    <row r="140" spans="1:7" s="52" customFormat="1" x14ac:dyDescent="0.2">
      <c r="A140" s="338"/>
      <c r="B140" s="316"/>
      <c r="C140" s="316"/>
      <c r="F140" s="117"/>
      <c r="G140" s="117"/>
    </row>
    <row r="141" spans="1:7" s="52" customFormat="1" x14ac:dyDescent="0.2">
      <c r="A141" s="338"/>
      <c r="B141" s="316"/>
      <c r="C141" s="316"/>
      <c r="F141" s="117"/>
      <c r="G141" s="117"/>
    </row>
    <row r="142" spans="1:7" s="52" customFormat="1" x14ac:dyDescent="0.2">
      <c r="A142" s="338"/>
      <c r="B142" s="316"/>
      <c r="C142" s="316"/>
      <c r="F142" s="117"/>
      <c r="G142" s="117"/>
    </row>
    <row r="143" spans="1:7" s="52" customFormat="1" x14ac:dyDescent="0.2">
      <c r="A143" s="338"/>
      <c r="B143" s="316"/>
      <c r="C143" s="316"/>
      <c r="F143" s="117"/>
      <c r="G143" s="117"/>
    </row>
    <row r="144" spans="1:7" s="52" customFormat="1" x14ac:dyDescent="0.2">
      <c r="A144" s="338"/>
      <c r="B144" s="316"/>
      <c r="C144" s="316"/>
      <c r="F144" s="117"/>
      <c r="G144" s="117"/>
    </row>
    <row r="145" spans="1:7" s="52" customFormat="1" x14ac:dyDescent="0.2">
      <c r="A145" s="338"/>
      <c r="B145" s="316"/>
      <c r="C145" s="316"/>
      <c r="F145" s="117"/>
      <c r="G145" s="117"/>
    </row>
    <row r="146" spans="1:7" s="52" customFormat="1" x14ac:dyDescent="0.2">
      <c r="A146" s="338"/>
      <c r="B146" s="316"/>
      <c r="C146" s="316"/>
      <c r="F146" s="117"/>
      <c r="G146" s="117"/>
    </row>
    <row r="147" spans="1:7" s="52" customFormat="1" x14ac:dyDescent="0.2">
      <c r="A147" s="338"/>
      <c r="B147" s="316"/>
      <c r="C147" s="316"/>
      <c r="F147" s="117"/>
      <c r="G147" s="117"/>
    </row>
    <row r="148" spans="1:7" s="52" customFormat="1" x14ac:dyDescent="0.2">
      <c r="A148" s="338"/>
      <c r="B148" s="316"/>
      <c r="C148" s="316"/>
      <c r="F148" s="117"/>
      <c r="G148" s="117"/>
    </row>
    <row r="149" spans="1:7" s="52" customFormat="1" x14ac:dyDescent="0.2">
      <c r="A149" s="338"/>
      <c r="B149" s="316"/>
      <c r="C149" s="316"/>
      <c r="F149" s="117"/>
      <c r="G149" s="117"/>
    </row>
    <row r="150" spans="1:7" s="52" customFormat="1" x14ac:dyDescent="0.2">
      <c r="A150" s="338"/>
      <c r="B150" s="316"/>
      <c r="C150" s="316"/>
      <c r="F150" s="117"/>
      <c r="G150" s="117"/>
    </row>
    <row r="151" spans="1:7" s="52" customFormat="1" x14ac:dyDescent="0.2">
      <c r="A151" s="338"/>
      <c r="B151" s="316"/>
      <c r="C151" s="316"/>
      <c r="F151" s="117"/>
      <c r="G151" s="117"/>
    </row>
    <row r="152" spans="1:7" s="52" customFormat="1" x14ac:dyDescent="0.2">
      <c r="A152" s="338"/>
      <c r="B152" s="316"/>
      <c r="C152" s="316"/>
      <c r="F152" s="117"/>
      <c r="G152" s="117"/>
    </row>
    <row r="153" spans="1:7" s="52" customFormat="1" x14ac:dyDescent="0.2">
      <c r="A153" s="338"/>
      <c r="B153" s="316"/>
      <c r="C153" s="316"/>
      <c r="F153" s="117"/>
      <c r="G153" s="117"/>
    </row>
    <row r="154" spans="1:7" s="52" customFormat="1" x14ac:dyDescent="0.2">
      <c r="A154" s="338"/>
      <c r="B154" s="316"/>
      <c r="C154" s="316"/>
      <c r="F154" s="117"/>
      <c r="G154" s="117"/>
    </row>
    <row r="155" spans="1:7" s="52" customFormat="1" x14ac:dyDescent="0.2">
      <c r="A155" s="338"/>
      <c r="B155" s="316"/>
      <c r="C155" s="316"/>
      <c r="F155" s="117"/>
      <c r="G155" s="117"/>
    </row>
    <row r="156" spans="1:7" s="52" customFormat="1" x14ac:dyDescent="0.2">
      <c r="A156" s="338"/>
      <c r="B156" s="316"/>
      <c r="C156" s="316"/>
      <c r="F156" s="117"/>
      <c r="G156" s="117"/>
    </row>
    <row r="157" spans="1:7" s="52" customFormat="1" x14ac:dyDescent="0.2">
      <c r="A157" s="338"/>
      <c r="B157" s="316"/>
      <c r="C157" s="316"/>
      <c r="F157" s="117"/>
      <c r="G157" s="117"/>
    </row>
    <row r="158" spans="1:7" s="52" customFormat="1" x14ac:dyDescent="0.2">
      <c r="A158" s="338"/>
      <c r="B158" s="316"/>
      <c r="C158" s="316"/>
      <c r="F158" s="117"/>
      <c r="G158" s="117"/>
    </row>
    <row r="159" spans="1:7" s="52" customFormat="1" x14ac:dyDescent="0.2">
      <c r="A159" s="338"/>
      <c r="B159" s="316"/>
      <c r="C159" s="316"/>
      <c r="F159" s="117"/>
      <c r="G159" s="117"/>
    </row>
    <row r="160" spans="1:7" s="52" customFormat="1" x14ac:dyDescent="0.2">
      <c r="A160" s="338"/>
      <c r="B160" s="316"/>
      <c r="C160" s="316"/>
      <c r="F160" s="117"/>
      <c r="G160" s="117"/>
    </row>
    <row r="161" spans="1:7" s="52" customFormat="1" x14ac:dyDescent="0.2">
      <c r="A161" s="338"/>
      <c r="B161" s="316"/>
      <c r="C161" s="316"/>
      <c r="F161" s="117"/>
      <c r="G161" s="117"/>
    </row>
    <row r="162" spans="1:7" s="52" customFormat="1" x14ac:dyDescent="0.2">
      <c r="A162" s="338"/>
      <c r="B162" s="316"/>
      <c r="C162" s="316"/>
      <c r="F162" s="117"/>
      <c r="G162" s="117"/>
    </row>
    <row r="163" spans="1:7" s="52" customFormat="1" x14ac:dyDescent="0.2">
      <c r="A163" s="338"/>
      <c r="B163" s="316"/>
      <c r="C163" s="316"/>
      <c r="F163" s="117"/>
      <c r="G163" s="117"/>
    </row>
    <row r="164" spans="1:7" s="52" customFormat="1" x14ac:dyDescent="0.2">
      <c r="A164" s="338"/>
      <c r="B164" s="316"/>
      <c r="C164" s="316"/>
      <c r="F164" s="117"/>
      <c r="G164" s="117"/>
    </row>
    <row r="165" spans="1:7" s="52" customFormat="1" x14ac:dyDescent="0.2">
      <c r="A165" s="338"/>
      <c r="B165" s="316"/>
      <c r="C165" s="316"/>
      <c r="F165" s="117"/>
      <c r="G165" s="117"/>
    </row>
    <row r="166" spans="1:7" s="52" customFormat="1" x14ac:dyDescent="0.2">
      <c r="A166" s="338"/>
      <c r="B166" s="316"/>
      <c r="C166" s="316"/>
      <c r="F166" s="117"/>
      <c r="G166" s="117"/>
    </row>
    <row r="167" spans="1:7" s="52" customFormat="1" x14ac:dyDescent="0.2">
      <c r="A167" s="338"/>
      <c r="B167" s="316"/>
      <c r="C167" s="316"/>
      <c r="F167" s="117"/>
      <c r="G167" s="117"/>
    </row>
    <row r="168" spans="1:7" s="52" customFormat="1" x14ac:dyDescent="0.2">
      <c r="A168" s="338"/>
      <c r="B168" s="316"/>
      <c r="C168" s="316"/>
      <c r="F168" s="117"/>
      <c r="G168" s="117"/>
    </row>
    <row r="169" spans="1:7" s="52" customFormat="1" x14ac:dyDescent="0.2">
      <c r="A169" s="338"/>
      <c r="B169" s="316"/>
      <c r="C169" s="316"/>
      <c r="F169" s="117"/>
      <c r="G169" s="117"/>
    </row>
    <row r="170" spans="1:7" s="52" customFormat="1" x14ac:dyDescent="0.2">
      <c r="A170" s="338"/>
      <c r="B170" s="316"/>
      <c r="C170" s="316"/>
      <c r="F170" s="117"/>
      <c r="G170" s="117"/>
    </row>
    <row r="171" spans="1:7" s="52" customFormat="1" x14ac:dyDescent="0.2">
      <c r="A171" s="338"/>
      <c r="B171" s="316"/>
      <c r="C171" s="316"/>
      <c r="F171" s="117"/>
      <c r="G171" s="117"/>
    </row>
    <row r="172" spans="1:7" s="52" customFormat="1" x14ac:dyDescent="0.2">
      <c r="A172" s="338"/>
      <c r="B172" s="316"/>
      <c r="C172" s="316"/>
      <c r="F172" s="117"/>
      <c r="G172" s="117"/>
    </row>
    <row r="173" spans="1:7" s="52" customFormat="1" x14ac:dyDescent="0.2">
      <c r="A173" s="338"/>
      <c r="B173" s="316"/>
      <c r="C173" s="316"/>
      <c r="F173" s="117"/>
      <c r="G173" s="117"/>
    </row>
    <row r="174" spans="1:7" s="52" customFormat="1" x14ac:dyDescent="0.2">
      <c r="A174" s="338"/>
      <c r="B174" s="316"/>
      <c r="C174" s="316"/>
      <c r="F174" s="117"/>
      <c r="G174" s="117"/>
    </row>
    <row r="175" spans="1:7" s="52" customFormat="1" x14ac:dyDescent="0.2">
      <c r="A175" s="338"/>
      <c r="B175" s="316"/>
      <c r="C175" s="316"/>
      <c r="F175" s="117"/>
      <c r="G175" s="117"/>
    </row>
    <row r="176" spans="1:7" s="52" customFormat="1" x14ac:dyDescent="0.2">
      <c r="A176" s="338"/>
      <c r="B176" s="316"/>
      <c r="C176" s="316"/>
      <c r="F176" s="117"/>
      <c r="G176" s="117"/>
    </row>
    <row r="177" spans="1:7" s="52" customFormat="1" x14ac:dyDescent="0.2">
      <c r="A177" s="338"/>
      <c r="B177" s="316"/>
      <c r="C177" s="316"/>
      <c r="F177" s="117"/>
      <c r="G177" s="117"/>
    </row>
    <row r="178" spans="1:7" s="52" customFormat="1" x14ac:dyDescent="0.2">
      <c r="A178" s="338"/>
      <c r="B178" s="316"/>
      <c r="C178" s="316"/>
      <c r="F178" s="117"/>
      <c r="G178" s="117"/>
    </row>
    <row r="179" spans="1:7" s="52" customFormat="1" x14ac:dyDescent="0.2">
      <c r="A179" s="338"/>
      <c r="B179" s="316"/>
      <c r="C179" s="316"/>
      <c r="F179" s="117"/>
      <c r="G179" s="117"/>
    </row>
    <row r="180" spans="1:7" s="52" customFormat="1" x14ac:dyDescent="0.2">
      <c r="A180" s="338"/>
      <c r="B180" s="316"/>
      <c r="C180" s="316"/>
      <c r="F180" s="117"/>
      <c r="G180" s="117"/>
    </row>
    <row r="181" spans="1:7" s="52" customFormat="1" x14ac:dyDescent="0.2">
      <c r="A181" s="338"/>
      <c r="B181" s="316"/>
      <c r="C181" s="316"/>
      <c r="F181" s="117"/>
      <c r="G181" s="117"/>
    </row>
    <row r="182" spans="1:7" s="52" customFormat="1" x14ac:dyDescent="0.2">
      <c r="A182" s="338"/>
      <c r="B182" s="316"/>
      <c r="C182" s="316"/>
      <c r="F182" s="117"/>
      <c r="G182" s="117"/>
    </row>
    <row r="183" spans="1:7" s="52" customFormat="1" x14ac:dyDescent="0.2">
      <c r="A183" s="338"/>
      <c r="B183" s="316"/>
      <c r="C183" s="316"/>
      <c r="F183" s="117"/>
      <c r="G183" s="117"/>
    </row>
    <row r="184" spans="1:7" s="52" customFormat="1" x14ac:dyDescent="0.2">
      <c r="A184" s="338"/>
      <c r="B184" s="316"/>
      <c r="C184" s="316"/>
      <c r="F184" s="117"/>
      <c r="G184" s="117"/>
    </row>
    <row r="185" spans="1:7" s="52" customFormat="1" x14ac:dyDescent="0.2">
      <c r="A185" s="338"/>
      <c r="B185" s="316"/>
      <c r="C185" s="316"/>
      <c r="F185" s="117"/>
      <c r="G185" s="117"/>
    </row>
    <row r="186" spans="1:7" s="52" customFormat="1" x14ac:dyDescent="0.2">
      <c r="A186" s="338"/>
      <c r="B186" s="316"/>
      <c r="C186" s="316"/>
      <c r="F186" s="117"/>
      <c r="G186" s="117"/>
    </row>
    <row r="187" spans="1:7" s="52" customFormat="1" x14ac:dyDescent="0.2">
      <c r="A187" s="338"/>
      <c r="B187" s="316"/>
      <c r="C187" s="316"/>
      <c r="F187" s="117"/>
      <c r="G187" s="117"/>
    </row>
    <row r="188" spans="1:7" s="52" customFormat="1" x14ac:dyDescent="0.2">
      <c r="A188" s="338"/>
      <c r="B188" s="316"/>
      <c r="C188" s="316"/>
      <c r="F188" s="117"/>
      <c r="G188" s="117"/>
    </row>
    <row r="189" spans="1:7" s="52" customFormat="1" x14ac:dyDescent="0.2">
      <c r="A189" s="338"/>
      <c r="B189" s="316"/>
      <c r="C189" s="316"/>
      <c r="F189" s="117"/>
      <c r="G189" s="117"/>
    </row>
    <row r="190" spans="1:7" s="52" customFormat="1" x14ac:dyDescent="0.2">
      <c r="A190" s="338"/>
      <c r="B190" s="316"/>
      <c r="C190" s="316"/>
      <c r="F190" s="117"/>
      <c r="G190" s="117"/>
    </row>
    <row r="191" spans="1:7" s="52" customFormat="1" x14ac:dyDescent="0.2">
      <c r="A191" s="338"/>
      <c r="B191" s="316"/>
      <c r="C191" s="316"/>
      <c r="F191" s="117"/>
      <c r="G191" s="117"/>
    </row>
    <row r="192" spans="1:7" s="52" customFormat="1" x14ac:dyDescent="0.2">
      <c r="A192" s="338"/>
      <c r="B192" s="316"/>
      <c r="C192" s="316"/>
      <c r="F192" s="117"/>
      <c r="G192" s="117"/>
    </row>
    <row r="193" spans="1:7" s="52" customFormat="1" x14ac:dyDescent="0.2">
      <c r="A193" s="338"/>
      <c r="B193" s="316"/>
      <c r="C193" s="316"/>
      <c r="F193" s="117"/>
      <c r="G193" s="117"/>
    </row>
    <row r="194" spans="1:7" s="52" customFormat="1" x14ac:dyDescent="0.2">
      <c r="A194" s="338"/>
      <c r="B194" s="316"/>
      <c r="C194" s="316"/>
      <c r="F194" s="117"/>
      <c r="G194" s="117"/>
    </row>
    <row r="195" spans="1:7" s="52" customFormat="1" x14ac:dyDescent="0.2">
      <c r="A195" s="338"/>
      <c r="B195" s="316"/>
      <c r="C195" s="316"/>
      <c r="F195" s="117"/>
      <c r="G195" s="117"/>
    </row>
    <row r="196" spans="1:7" s="52" customFormat="1" x14ac:dyDescent="0.2">
      <c r="A196" s="338"/>
      <c r="B196" s="316"/>
      <c r="C196" s="316"/>
      <c r="F196" s="117"/>
      <c r="G196" s="117"/>
    </row>
    <row r="197" spans="1:7" s="52" customFormat="1" x14ac:dyDescent="0.2">
      <c r="A197" s="338"/>
      <c r="B197" s="316"/>
      <c r="C197" s="316"/>
      <c r="F197" s="117"/>
      <c r="G197" s="117"/>
    </row>
    <row r="198" spans="1:7" s="52" customFormat="1" x14ac:dyDescent="0.2">
      <c r="A198" s="338"/>
      <c r="B198" s="316"/>
      <c r="C198" s="316"/>
      <c r="F198" s="117"/>
      <c r="G198" s="117"/>
    </row>
    <row r="199" spans="1:7" s="52" customFormat="1" x14ac:dyDescent="0.2">
      <c r="A199" s="338"/>
      <c r="B199" s="316"/>
      <c r="C199" s="316"/>
      <c r="F199" s="117"/>
      <c r="G199" s="117"/>
    </row>
    <row r="200" spans="1:7" s="52" customFormat="1" x14ac:dyDescent="0.2">
      <c r="A200" s="338"/>
      <c r="B200" s="316"/>
      <c r="C200" s="316"/>
      <c r="F200" s="117"/>
      <c r="G200" s="117"/>
    </row>
    <row r="201" spans="1:7" s="52" customFormat="1" x14ac:dyDescent="0.2">
      <c r="A201" s="338"/>
      <c r="B201" s="316"/>
      <c r="C201" s="316"/>
      <c r="F201" s="117"/>
      <c r="G201" s="117"/>
    </row>
    <row r="202" spans="1:7" s="52" customFormat="1" x14ac:dyDescent="0.2">
      <c r="A202" s="338"/>
      <c r="B202" s="316"/>
      <c r="C202" s="316"/>
      <c r="F202" s="117"/>
      <c r="G202" s="117"/>
    </row>
    <row r="203" spans="1:7" s="52" customFormat="1" x14ac:dyDescent="0.2">
      <c r="A203" s="338"/>
      <c r="B203" s="316"/>
      <c r="C203" s="316"/>
      <c r="F203" s="117"/>
      <c r="G203" s="117"/>
    </row>
  </sheetData>
  <mergeCells count="19">
    <mergeCell ref="B10:D10"/>
    <mergeCell ref="B13:F13"/>
    <mergeCell ref="G13:H13"/>
    <mergeCell ref="B49:F49"/>
    <mergeCell ref="G49:H49"/>
    <mergeCell ref="B16:F17"/>
    <mergeCell ref="B26:D26"/>
    <mergeCell ref="B29:F29"/>
    <mergeCell ref="G29:H29"/>
    <mergeCell ref="G52:H52"/>
    <mergeCell ref="G51:H51"/>
    <mergeCell ref="B41:D41"/>
    <mergeCell ref="B44:F44"/>
    <mergeCell ref="G44:H44"/>
    <mergeCell ref="G45:H45"/>
    <mergeCell ref="G46:H46"/>
    <mergeCell ref="G47:H47"/>
    <mergeCell ref="G50:H50"/>
    <mergeCell ref="B52:F5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firstPageNumber="17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  <colBreaks count="1" manualBreakCount="1">
    <brk id="9" min="1" max="22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FF"/>
  </sheetPr>
  <dimension ref="A1:I35"/>
  <sheetViews>
    <sheetView showGridLines="0" view="pageBreakPreview" zoomScaleNormal="80" zoomScaleSheetLayoutView="100" workbookViewId="0">
      <selection activeCell="G18" sqref="G18"/>
    </sheetView>
  </sheetViews>
  <sheetFormatPr defaultColWidth="9.140625" defaultRowHeight="12.75" x14ac:dyDescent="0.2"/>
  <cols>
    <col min="1" max="1" width="9.28515625" style="462" customWidth="1"/>
    <col min="2" max="2" width="46.5703125" style="462" customWidth="1"/>
    <col min="3" max="3" width="25.7109375" style="462" customWidth="1"/>
    <col min="4" max="4" width="23.42578125" style="462" customWidth="1"/>
    <col min="5" max="5" width="20.42578125" style="462" customWidth="1"/>
    <col min="6" max="6" width="19.42578125" style="462" customWidth="1"/>
    <col min="7" max="7" width="24.140625" style="462" customWidth="1"/>
    <col min="8" max="8" width="23" style="462" customWidth="1"/>
    <col min="9" max="9" width="20.85546875" style="462" customWidth="1"/>
    <col min="10" max="16384" width="9.140625" style="462"/>
  </cols>
  <sheetData>
    <row r="1" spans="1:9" ht="18" x14ac:dyDescent="0.25">
      <c r="A1" s="276" t="s">
        <v>500</v>
      </c>
    </row>
    <row r="2" spans="1:9" ht="18" x14ac:dyDescent="0.25">
      <c r="A2" s="276" t="s">
        <v>501</v>
      </c>
    </row>
    <row r="3" spans="1:9" ht="13.5" thickBot="1" x14ac:dyDescent="0.25">
      <c r="H3" s="648" t="s">
        <v>0</v>
      </c>
    </row>
    <row r="4" spans="1:9" ht="54.75" thickBot="1" x14ac:dyDescent="0.25">
      <c r="A4" s="965" t="s">
        <v>269</v>
      </c>
      <c r="B4" s="966"/>
      <c r="C4" s="505" t="s">
        <v>270</v>
      </c>
      <c r="D4" s="505" t="s">
        <v>271</v>
      </c>
      <c r="E4" s="505" t="s">
        <v>487</v>
      </c>
      <c r="F4" s="505" t="s">
        <v>205</v>
      </c>
      <c r="G4" s="506" t="s">
        <v>206</v>
      </c>
      <c r="H4" s="507" t="s">
        <v>488</v>
      </c>
    </row>
    <row r="5" spans="1:9" ht="15" x14ac:dyDescent="0.2">
      <c r="A5" s="700" t="s">
        <v>272</v>
      </c>
      <c r="B5" s="701" t="s">
        <v>489</v>
      </c>
      <c r="C5" s="508">
        <v>0</v>
      </c>
      <c r="D5" s="508">
        <v>0</v>
      </c>
      <c r="E5" s="702">
        <v>0</v>
      </c>
      <c r="F5" s="509">
        <v>0</v>
      </c>
      <c r="G5" s="508">
        <f>[21]Souhrn!$G$7+[21]Souhrn!$G$10</f>
        <v>31945</v>
      </c>
      <c r="H5" s="703">
        <f>SUM(C5:G5)</f>
        <v>31945</v>
      </c>
    </row>
    <row r="6" spans="1:9" ht="15" x14ac:dyDescent="0.2">
      <c r="A6" s="704" t="s">
        <v>272</v>
      </c>
      <c r="B6" s="701" t="s">
        <v>490</v>
      </c>
      <c r="C6" s="509">
        <v>0</v>
      </c>
      <c r="D6" s="509">
        <v>0</v>
      </c>
      <c r="E6" s="705">
        <v>0</v>
      </c>
      <c r="F6" s="509">
        <f>[21]Souhrn!$F$19</f>
        <v>30776</v>
      </c>
      <c r="G6" s="509">
        <f>[21]Souhrn!$G$5+[21]Souhrn!$G$8+[21]Souhrn!$G$12+[21]Souhrn!$G$13+[21]Souhrn!$G$16+[21]Souhrn!$G$17+[21]Souhrn!$G$19</f>
        <v>382964</v>
      </c>
      <c r="H6" s="706">
        <f>SUM(C6:G6)</f>
        <v>413740</v>
      </c>
    </row>
    <row r="7" spans="1:9" ht="15" x14ac:dyDescent="0.2">
      <c r="A7" s="704" t="s">
        <v>272</v>
      </c>
      <c r="B7" s="701" t="s">
        <v>491</v>
      </c>
      <c r="C7" s="509">
        <v>0</v>
      </c>
      <c r="D7" s="509">
        <v>0</v>
      </c>
      <c r="E7" s="705">
        <v>0</v>
      </c>
      <c r="F7" s="509">
        <v>0</v>
      </c>
      <c r="G7" s="509">
        <f>[21]Souhrn!$G$6+[21]Souhrn!$G$9</f>
        <v>55821</v>
      </c>
      <c r="H7" s="706">
        <f t="shared" ref="H7:H14" si="0">SUM(C7:G7)</f>
        <v>55821</v>
      </c>
    </row>
    <row r="8" spans="1:9" ht="15" x14ac:dyDescent="0.2">
      <c r="A8" s="704" t="s">
        <v>492</v>
      </c>
      <c r="B8" s="701" t="s">
        <v>493</v>
      </c>
      <c r="C8" s="509">
        <v>0</v>
      </c>
      <c r="D8" s="509">
        <v>0</v>
      </c>
      <c r="E8" s="509">
        <f>[22]Souhrn!$E$6</f>
        <v>1335</v>
      </c>
      <c r="F8" s="509">
        <v>0</v>
      </c>
      <c r="G8" s="509">
        <f>[22]Souhrn!$G$6+[22]Souhrn!$G$8+[22]Souhrn!$G$11+[22]Souhrn!$G$13+[22]Souhrn!$G$18+[22]Souhrn!$G$27</f>
        <v>54336</v>
      </c>
      <c r="H8" s="706">
        <f>SUM(C8:G8)</f>
        <v>55671</v>
      </c>
    </row>
    <row r="9" spans="1:9" ht="15" x14ac:dyDescent="0.2">
      <c r="A9" s="704" t="s">
        <v>273</v>
      </c>
      <c r="B9" s="701" t="s">
        <v>494</v>
      </c>
      <c r="C9" s="509">
        <v>0</v>
      </c>
      <c r="D9" s="509">
        <v>0</v>
      </c>
      <c r="E9" s="509">
        <f>[22]Souhrn!$E$5+[22]Souhrn!$E$21</f>
        <v>13755</v>
      </c>
      <c r="F9" s="509">
        <v>0</v>
      </c>
      <c r="G9" s="509">
        <f>[22]Souhrn!$G$5+[22]Souhrn!$G$9+[22]Souhrn!$G$10+[22]Souhrn!$G$12+[22]Souhrn!$G$15+[22]Souhrn!$G$17+[22]Souhrn!$G$21+[22]Souhrn!$G$22+[22]Souhrn!$G$26+[22]Souhrn!$G$28+[22]Souhrn!$G$29</f>
        <v>914264</v>
      </c>
      <c r="H9" s="706">
        <f t="shared" si="0"/>
        <v>928019</v>
      </c>
    </row>
    <row r="10" spans="1:9" ht="15" x14ac:dyDescent="0.2">
      <c r="A10" s="704" t="s">
        <v>274</v>
      </c>
      <c r="B10" s="701" t="s">
        <v>495</v>
      </c>
      <c r="C10" s="509">
        <v>0</v>
      </c>
      <c r="D10" s="509">
        <v>0</v>
      </c>
      <c r="E10" s="705">
        <v>0</v>
      </c>
      <c r="F10" s="509">
        <v>0</v>
      </c>
      <c r="G10" s="509">
        <f>[23]Souhrn!$H$13</f>
        <v>27051</v>
      </c>
      <c r="H10" s="706">
        <f t="shared" si="0"/>
        <v>27051</v>
      </c>
    </row>
    <row r="11" spans="1:9" ht="15" x14ac:dyDescent="0.2">
      <c r="A11" s="704" t="s">
        <v>275</v>
      </c>
      <c r="B11" s="701" t="s">
        <v>496</v>
      </c>
      <c r="C11" s="509">
        <v>0</v>
      </c>
      <c r="D11" s="509">
        <f>[24]Souhrn!$D$19</f>
        <v>11138</v>
      </c>
      <c r="E11" s="705">
        <v>0</v>
      </c>
      <c r="F11" s="509">
        <v>0</v>
      </c>
      <c r="G11" s="509">
        <f>[24]Souhrn!$G$19</f>
        <v>33707</v>
      </c>
      <c r="H11" s="706">
        <f>SUM(C11:G11)</f>
        <v>44845</v>
      </c>
    </row>
    <row r="12" spans="1:9" ht="24" customHeight="1" x14ac:dyDescent="0.2">
      <c r="A12" s="704" t="s">
        <v>276</v>
      </c>
      <c r="B12" s="701" t="s">
        <v>497</v>
      </c>
      <c r="C12" s="509">
        <v>0</v>
      </c>
      <c r="D12" s="509">
        <f>[25]Souhrn!$C$5+[25]Souhrn!$C$6+[25]Souhrn!$C$8+[25]Souhrn!$C$9+[25]Souhrn!$C$11+[25]Souhrn!$C$12+[25]Souhrn!$C$13+[25]Souhrn!$C$14+[25]Souhrn!$C$16+[25]Souhrn!$C$17+[25]Souhrn!$C$19+[25]Souhrn!$C$21+[25]Souhrn!$C$22</f>
        <v>550024</v>
      </c>
      <c r="E12" s="705">
        <v>0</v>
      </c>
      <c r="F12" s="509">
        <v>0</v>
      </c>
      <c r="G12" s="509">
        <f>[25]Souhrn!$G$5+[25]Souhrn!$G$6+[25]Souhrn!$G$8+[25]Souhrn!$G$9+[25]Souhrn!$G$11+[25]Souhrn!$G$12+[25]Souhrn!$G$13+[25]Souhrn!$G$14+[25]Souhrn!$G$16+[25]Souhrn!$G$17+[25]Souhrn!$G$19+[25]Souhrn!$G$21+[25]Souhrn!$G$22</f>
        <v>519801</v>
      </c>
      <c r="H12" s="706">
        <f>SUM(C12:G12)</f>
        <v>1069825</v>
      </c>
    </row>
    <row r="13" spans="1:9" ht="15" x14ac:dyDescent="0.2">
      <c r="A13" s="704" t="s">
        <v>276</v>
      </c>
      <c r="B13" s="701" t="s">
        <v>498</v>
      </c>
      <c r="C13" s="509">
        <v>0</v>
      </c>
      <c r="D13" s="509">
        <f>[25]Souhrn!$C$7+[25]Souhrn!$C$10+[25]Souhrn!$C$15+[25]Souhrn!$C$18+[25]Souhrn!$C$20</f>
        <v>142815</v>
      </c>
      <c r="E13" s="705">
        <v>0</v>
      </c>
      <c r="F13" s="509">
        <v>0</v>
      </c>
      <c r="G13" s="509">
        <f>[25]Souhrn!$G$7+[25]Souhrn!$G$10+[25]Souhrn!$G$15+[25]Souhrn!$G$18+[25]Souhrn!$G$20</f>
        <v>308457</v>
      </c>
      <c r="H13" s="706">
        <f>SUM(C13:G13)</f>
        <v>451272</v>
      </c>
    </row>
    <row r="14" spans="1:9" ht="15.75" thickBot="1" x14ac:dyDescent="0.25">
      <c r="A14" s="704" t="s">
        <v>360</v>
      </c>
      <c r="B14" s="701" t="s">
        <v>361</v>
      </c>
      <c r="C14" s="509">
        <v>0</v>
      </c>
      <c r="D14" s="509">
        <v>0</v>
      </c>
      <c r="E14" s="705">
        <v>0</v>
      </c>
      <c r="F14" s="509">
        <v>0</v>
      </c>
      <c r="G14" s="509">
        <f>SUM('[26]Oblast energ. služby - ORJ 08 '!$O$27)</f>
        <v>19203</v>
      </c>
      <c r="H14" s="706">
        <f t="shared" si="0"/>
        <v>19203</v>
      </c>
    </row>
    <row r="15" spans="1:9" ht="16.5" thickBot="1" x14ac:dyDescent="0.3">
      <c r="A15" s="967" t="s">
        <v>207</v>
      </c>
      <c r="B15" s="968"/>
      <c r="C15" s="510">
        <f t="shared" ref="C15:E15" si="1">SUM(C5:C14)</f>
        <v>0</v>
      </c>
      <c r="D15" s="510">
        <f>SUM(D5:D14)</f>
        <v>703977</v>
      </c>
      <c r="E15" s="496">
        <f t="shared" si="1"/>
        <v>15090</v>
      </c>
      <c r="F15" s="510">
        <f>SUM(F5:F14)</f>
        <v>30776</v>
      </c>
      <c r="G15" s="510">
        <f>SUM(G5:G14)</f>
        <v>2347549</v>
      </c>
      <c r="H15" s="532">
        <f>SUM(H5:H14)</f>
        <v>3097392</v>
      </c>
      <c r="I15" s="464">
        <f>G15+F15+D15</f>
        <v>3082302</v>
      </c>
    </row>
    <row r="16" spans="1:9" x14ac:dyDescent="0.2">
      <c r="G16" s="464"/>
      <c r="I16" s="464">
        <f>H15-E15</f>
        <v>3082302</v>
      </c>
    </row>
    <row r="17" spans="1:8" ht="15" x14ac:dyDescent="0.25">
      <c r="E17" s="463"/>
      <c r="G17" s="858" t="s">
        <v>570</v>
      </c>
      <c r="H17" s="859">
        <f>H15-E15</f>
        <v>3082302</v>
      </c>
    </row>
    <row r="18" spans="1:8" x14ac:dyDescent="0.2">
      <c r="E18" s="618"/>
      <c r="F18" s="582"/>
      <c r="G18" s="464"/>
    </row>
    <row r="19" spans="1:8" x14ac:dyDescent="0.2">
      <c r="F19" s="582"/>
    </row>
    <row r="20" spans="1:8" ht="15" x14ac:dyDescent="0.25">
      <c r="A20" s="707" t="s">
        <v>499</v>
      </c>
      <c r="F20" s="582"/>
    </row>
    <row r="24" spans="1:8" x14ac:dyDescent="0.2">
      <c r="B24" s="648"/>
      <c r="C24" s="464"/>
      <c r="D24" s="464"/>
      <c r="E24" s="464"/>
      <c r="F24" s="464"/>
      <c r="G24" s="464"/>
      <c r="H24" s="464"/>
    </row>
    <row r="25" spans="1:8" x14ac:dyDescent="0.2">
      <c r="B25" s="648"/>
      <c r="C25" s="464"/>
      <c r="D25" s="464"/>
      <c r="E25" s="464"/>
      <c r="F25" s="464"/>
      <c r="G25" s="464"/>
      <c r="H25" s="464"/>
    </row>
    <row r="26" spans="1:8" x14ac:dyDescent="0.2">
      <c r="C26" s="464"/>
      <c r="D26" s="464"/>
      <c r="E26" s="464"/>
      <c r="F26" s="464"/>
      <c r="G26" s="464"/>
      <c r="H26" s="464"/>
    </row>
    <row r="27" spans="1:8" x14ac:dyDescent="0.2">
      <c r="F27" s="464"/>
    </row>
    <row r="28" spans="1:8" x14ac:dyDescent="0.2">
      <c r="F28" s="464"/>
    </row>
    <row r="29" spans="1:8" x14ac:dyDescent="0.2">
      <c r="F29" s="464"/>
    </row>
    <row r="30" spans="1:8" x14ac:dyDescent="0.2">
      <c r="F30" s="464"/>
    </row>
    <row r="31" spans="1:8" x14ac:dyDescent="0.2">
      <c r="F31" s="464"/>
    </row>
    <row r="32" spans="1:8" x14ac:dyDescent="0.2">
      <c r="F32" s="464"/>
    </row>
    <row r="33" spans="6:6" x14ac:dyDescent="0.2">
      <c r="F33" s="464"/>
    </row>
    <row r="34" spans="6:6" x14ac:dyDescent="0.2">
      <c r="F34" s="464"/>
    </row>
    <row r="35" spans="6:6" x14ac:dyDescent="0.2">
      <c r="F35" s="464"/>
    </row>
  </sheetData>
  <mergeCells count="2">
    <mergeCell ref="A4:B4"/>
    <mergeCell ref="A15:B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8" firstPageNumber="18" orientation="landscape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</sheetPr>
  <dimension ref="A1:L81"/>
  <sheetViews>
    <sheetView view="pageBreakPreview" topLeftCell="A52" zoomScaleNormal="100" zoomScaleSheetLayoutView="100" workbookViewId="0">
      <selection activeCell="B43" sqref="B43"/>
    </sheetView>
  </sheetViews>
  <sheetFormatPr defaultColWidth="9.140625" defaultRowHeight="15" x14ac:dyDescent="0.25"/>
  <cols>
    <col min="1" max="1" width="5.28515625" style="90" customWidth="1"/>
    <col min="2" max="2" width="60.7109375" style="58" customWidth="1"/>
    <col min="3" max="4" width="18.140625" style="58" hidden="1" customWidth="1"/>
    <col min="5" max="5" width="22.7109375" style="58" customWidth="1"/>
    <col min="6" max="6" width="22.7109375" style="58" hidden="1" customWidth="1"/>
    <col min="7" max="7" width="22" style="58" hidden="1" customWidth="1"/>
    <col min="8" max="8" width="22.7109375" style="28" customWidth="1"/>
    <col min="9" max="9" width="15.42578125" style="58" customWidth="1"/>
    <col min="10" max="10" width="17.140625" style="58" customWidth="1"/>
    <col min="11" max="11" width="11.7109375" style="57" bestFit="1" customWidth="1"/>
    <col min="12" max="16384" width="9.140625" style="58"/>
  </cols>
  <sheetData>
    <row r="1" spans="1:11" ht="16.5" x14ac:dyDescent="0.25">
      <c r="A1" s="42" t="s">
        <v>370</v>
      </c>
      <c r="B1" s="97"/>
      <c r="C1" s="97"/>
      <c r="D1" s="97"/>
      <c r="E1" s="97"/>
      <c r="F1" s="28"/>
      <c r="G1" s="28"/>
      <c r="I1" s="28"/>
    </row>
    <row r="2" spans="1:11" ht="16.5" thickBot="1" x14ac:dyDescent="0.3">
      <c r="A2" s="24" t="s">
        <v>38</v>
      </c>
      <c r="B2" s="28"/>
      <c r="C2" s="28"/>
      <c r="D2" s="28"/>
      <c r="E2" s="28"/>
      <c r="F2" s="28"/>
      <c r="G2" s="28"/>
      <c r="I2" s="88" t="s">
        <v>0</v>
      </c>
    </row>
    <row r="3" spans="1:11" ht="41.25" customHeight="1" thickTop="1" thickBot="1" x14ac:dyDescent="0.3">
      <c r="A3" s="20" t="s">
        <v>1</v>
      </c>
      <c r="B3" s="17" t="s">
        <v>36</v>
      </c>
      <c r="C3" s="89" t="s">
        <v>74</v>
      </c>
      <c r="D3" s="89" t="s">
        <v>75</v>
      </c>
      <c r="E3" s="373" t="s">
        <v>371</v>
      </c>
      <c r="F3" s="374" t="s">
        <v>95</v>
      </c>
      <c r="G3" s="373" t="s">
        <v>230</v>
      </c>
      <c r="H3" s="375" t="s">
        <v>372</v>
      </c>
      <c r="I3" s="376" t="s">
        <v>2</v>
      </c>
    </row>
    <row r="4" spans="1:11" s="365" customFormat="1" ht="12.75" thickTop="1" thickBot="1" x14ac:dyDescent="0.25">
      <c r="A4" s="12">
        <v>1</v>
      </c>
      <c r="B4" s="13">
        <v>2</v>
      </c>
      <c r="C4" s="14">
        <v>3</v>
      </c>
      <c r="D4" s="14">
        <v>4</v>
      </c>
      <c r="E4" s="14">
        <v>3</v>
      </c>
      <c r="F4" s="18">
        <v>4</v>
      </c>
      <c r="G4" s="18">
        <v>4</v>
      </c>
      <c r="H4" s="379">
        <v>4</v>
      </c>
      <c r="I4" s="15" t="s">
        <v>282</v>
      </c>
      <c r="K4" s="366"/>
    </row>
    <row r="5" spans="1:11" s="28" customFormat="1" ht="17.100000000000001" customHeight="1" thickTop="1" x14ac:dyDescent="0.25">
      <c r="A5" s="1">
        <v>1</v>
      </c>
      <c r="B5" s="73" t="s">
        <v>3</v>
      </c>
      <c r="C5" s="74">
        <f>790223+32010+94954+882612+1728918</f>
        <v>3528717</v>
      </c>
      <c r="D5" s="74">
        <f>897745+24607+96841+1000783+2056630</f>
        <v>4076606</v>
      </c>
      <c r="E5" s="380">
        <v>7100000</v>
      </c>
      <c r="F5" s="590">
        <v>4962504</v>
      </c>
      <c r="G5" s="492">
        <v>4684504</v>
      </c>
      <c r="H5" s="492">
        <f>SUM('[1]a) Příjmy'!$F$12)</f>
        <v>7700000</v>
      </c>
      <c r="I5" s="95">
        <f t="shared" ref="I5:I22" si="0">H5/E5*100</f>
        <v>108.45070422535213</v>
      </c>
      <c r="J5" s="708"/>
      <c r="K5" s="63"/>
    </row>
    <row r="6" spans="1:11" s="28" customFormat="1" ht="17.100000000000001" customHeight="1" x14ac:dyDescent="0.25">
      <c r="A6" s="2">
        <v>2</v>
      </c>
      <c r="B6" s="3" t="s">
        <v>4</v>
      </c>
      <c r="C6" s="75">
        <v>1343</v>
      </c>
      <c r="D6" s="75">
        <f>149+57+3+291+214+902+127+1</f>
        <v>1744</v>
      </c>
      <c r="E6" s="77">
        <v>1330</v>
      </c>
      <c r="F6" s="503">
        <f>SUM([2]Příjmy!$F$13)</f>
        <v>1185</v>
      </c>
      <c r="G6" s="77">
        <v>1185</v>
      </c>
      <c r="H6" s="77">
        <f>SUM('[1]a) Příjmy'!$F$13)</f>
        <v>1370</v>
      </c>
      <c r="I6" s="95">
        <f t="shared" si="0"/>
        <v>103.00751879699249</v>
      </c>
      <c r="J6" s="591"/>
      <c r="K6" s="63"/>
    </row>
    <row r="7" spans="1:11" s="28" customFormat="1" ht="16.5" customHeight="1" x14ac:dyDescent="0.25">
      <c r="A7" s="1">
        <v>3</v>
      </c>
      <c r="B7" s="108" t="s">
        <v>285</v>
      </c>
      <c r="C7" s="75">
        <f>907+304</f>
        <v>1211</v>
      </c>
      <c r="D7" s="75">
        <f>1210+7+374</f>
        <v>1591</v>
      </c>
      <c r="E7" s="77">
        <v>365</v>
      </c>
      <c r="F7" s="503">
        <f>SUM([2]Příjmy!$F$14:$F$15)</f>
        <v>1580</v>
      </c>
      <c r="G7" s="77">
        <v>1701</v>
      </c>
      <c r="H7" s="77">
        <f>SUM('[1]a) Příjmy'!$F$14:$F$15)</f>
        <v>415</v>
      </c>
      <c r="I7" s="95">
        <f t="shared" si="0"/>
        <v>113.69863013698631</v>
      </c>
      <c r="K7" s="63"/>
    </row>
    <row r="8" spans="1:11" s="28" customFormat="1" ht="17.100000000000001" customHeight="1" x14ac:dyDescent="0.25">
      <c r="A8" s="2">
        <v>4</v>
      </c>
      <c r="B8" s="4" t="s">
        <v>10</v>
      </c>
      <c r="C8" s="711">
        <v>161961</v>
      </c>
      <c r="D8" s="711">
        <v>168785</v>
      </c>
      <c r="E8" s="76">
        <v>246000</v>
      </c>
      <c r="F8" s="378">
        <f>SUM([2]Příjmy!$F$16)</f>
        <v>267458</v>
      </c>
      <c r="G8" s="77">
        <v>284283</v>
      </c>
      <c r="H8" s="76">
        <f>SUM('[1]a) Příjmy'!$F$16)</f>
        <v>256970</v>
      </c>
      <c r="I8" s="95">
        <f t="shared" si="0"/>
        <v>104.45934959349594</v>
      </c>
      <c r="J8" s="712"/>
      <c r="K8" s="63"/>
    </row>
    <row r="9" spans="1:11" s="28" customFormat="1" ht="17.100000000000001" customHeight="1" x14ac:dyDescent="0.25">
      <c r="A9" s="1">
        <v>5</v>
      </c>
      <c r="B9" s="3" t="s">
        <v>5</v>
      </c>
      <c r="C9" s="75">
        <f>432+37900+157</f>
        <v>38489</v>
      </c>
      <c r="D9" s="75">
        <f>247+30793+131</f>
        <v>31171</v>
      </c>
      <c r="E9" s="77">
        <v>38219.300000000003</v>
      </c>
      <c r="F9" s="101">
        <f>SUM([2]Příjmy!$F$17:$F$20)</f>
        <v>33258.299999999996</v>
      </c>
      <c r="G9" s="77">
        <v>33452.199999999997</v>
      </c>
      <c r="H9" s="493">
        <f>SUM('[1]a) Příjmy'!$F$17:$F$20)</f>
        <v>39941.300000000003</v>
      </c>
      <c r="I9" s="95">
        <f t="shared" si="0"/>
        <v>104.50557702522023</v>
      </c>
      <c r="K9" s="63"/>
    </row>
    <row r="10" spans="1:11" s="28" customFormat="1" ht="17.100000000000001" customHeight="1" x14ac:dyDescent="0.25">
      <c r="A10" s="2">
        <v>6</v>
      </c>
      <c r="B10" s="3" t="s">
        <v>6</v>
      </c>
      <c r="C10" s="75">
        <f t="shared" ref="C10" si="1">512+3443</f>
        <v>3955</v>
      </c>
      <c r="D10" s="75">
        <f>646+3181</f>
        <v>3827</v>
      </c>
      <c r="E10" s="77">
        <v>3810.3</v>
      </c>
      <c r="F10" s="101">
        <f>SUM([2]Příjmy!$F$21:$F$22)</f>
        <v>2920</v>
      </c>
      <c r="G10" s="77">
        <v>2974</v>
      </c>
      <c r="H10" s="493">
        <f>SUM('[1]a) Příjmy'!$F$21:$F$22)</f>
        <v>3910.2999999999997</v>
      </c>
      <c r="I10" s="95">
        <f t="shared" si="0"/>
        <v>102.62446526520222</v>
      </c>
      <c r="K10" s="63"/>
    </row>
    <row r="11" spans="1:11" s="28" customFormat="1" ht="17.100000000000001" customHeight="1" x14ac:dyDescent="0.25">
      <c r="A11" s="1">
        <v>7</v>
      </c>
      <c r="B11" s="39" t="s">
        <v>87</v>
      </c>
      <c r="C11" s="75">
        <f>41073</f>
        <v>41073</v>
      </c>
      <c r="D11" s="75">
        <v>40469</v>
      </c>
      <c r="E11" s="77">
        <v>820.3</v>
      </c>
      <c r="F11" s="77">
        <f>SUM([2]Příjmy!$F$23,[2]Příjmy!$F$25:$F$29)</f>
        <v>166876</v>
      </c>
      <c r="G11" s="77">
        <v>167328</v>
      </c>
      <c r="H11" s="503">
        <f>SUM('[1]a) Příjmy'!$F$24,'[1]a) Příjmy'!$F$25,'[1]a) Příjmy'!$F$26,'[1]a) Příjmy'!$F$27)</f>
        <v>1391.3000000000002</v>
      </c>
      <c r="I11" s="96">
        <f t="shared" si="0"/>
        <v>169.60867975131052</v>
      </c>
      <c r="K11" s="63"/>
    </row>
    <row r="12" spans="1:11" s="97" customFormat="1" ht="17.100000000000001" customHeight="1" x14ac:dyDescent="0.25">
      <c r="A12" s="2">
        <v>8</v>
      </c>
      <c r="B12" s="713" t="s">
        <v>13</v>
      </c>
      <c r="C12" s="75">
        <v>12615</v>
      </c>
      <c r="D12" s="75">
        <v>2818</v>
      </c>
      <c r="E12" s="77"/>
      <c r="F12" s="77">
        <f>SUM([2]Příjmy!$F$30:$F$31)</f>
        <v>300</v>
      </c>
      <c r="G12" s="77">
        <v>150</v>
      </c>
      <c r="H12" s="77">
        <f>SUM('[1]a) Příjmy'!$F$28:$F$29)</f>
        <v>24556</v>
      </c>
      <c r="I12" s="95"/>
      <c r="K12" s="98"/>
    </row>
    <row r="13" spans="1:11" s="28" customFormat="1" ht="17.100000000000001" customHeight="1" x14ac:dyDescent="0.25">
      <c r="A13" s="1">
        <v>9</v>
      </c>
      <c r="B13" s="73" t="s">
        <v>7</v>
      </c>
      <c r="C13" s="74">
        <f>238+14957+75</f>
        <v>15270</v>
      </c>
      <c r="D13" s="74">
        <f>9347+61787+2+28150</f>
        <v>99286</v>
      </c>
      <c r="E13" s="380">
        <v>7340</v>
      </c>
      <c r="F13" s="77">
        <f>SUM([2]Příjmy!$F$32:$F$34,[2]Příjmy!$F$24)</f>
        <v>8360</v>
      </c>
      <c r="G13" s="77">
        <v>8360</v>
      </c>
      <c r="H13" s="77">
        <f>SUM('[1]a) Příjmy'!$F$23,'[1]a) Příjmy'!$F$30:$F$32)</f>
        <v>4450</v>
      </c>
      <c r="I13" s="95">
        <f t="shared" si="0"/>
        <v>60.626702997275203</v>
      </c>
      <c r="K13" s="63"/>
    </row>
    <row r="14" spans="1:11" s="28" customFormat="1" ht="17.100000000000001" customHeight="1" x14ac:dyDescent="0.25">
      <c r="A14" s="2">
        <v>10</v>
      </c>
      <c r="B14" s="3" t="s">
        <v>8</v>
      </c>
      <c r="C14" s="75">
        <v>636</v>
      </c>
      <c r="D14" s="75">
        <v>659</v>
      </c>
      <c r="E14" s="77">
        <v>30164.1</v>
      </c>
      <c r="F14" s="77">
        <f>SUM([2]Příjmy!$F$35)</f>
        <v>500.3</v>
      </c>
      <c r="G14" s="77">
        <v>500</v>
      </c>
      <c r="H14" s="101">
        <f>SUM('[1]a) Příjmy'!$F$33)</f>
        <v>46222.400000000001</v>
      </c>
      <c r="I14" s="95">
        <f t="shared" si="0"/>
        <v>153.23646321289215</v>
      </c>
      <c r="K14" s="63"/>
    </row>
    <row r="15" spans="1:11" s="35" customFormat="1" ht="17.100000000000001" customHeight="1" x14ac:dyDescent="0.25">
      <c r="A15" s="1">
        <v>11</v>
      </c>
      <c r="B15" s="714" t="s">
        <v>9</v>
      </c>
      <c r="C15" s="8">
        <v>73854</v>
      </c>
      <c r="D15" s="8">
        <v>76028</v>
      </c>
      <c r="E15" s="378">
        <v>141578</v>
      </c>
      <c r="F15" s="101">
        <f>SUM([2]Příjmy!$F$36)</f>
        <v>122749.4</v>
      </c>
      <c r="G15" s="503">
        <v>122749</v>
      </c>
      <c r="H15" s="101">
        <f>SUM('[1]a) Příjmy'!$F$34:$F$35)</f>
        <v>173900.7</v>
      </c>
      <c r="I15" s="715">
        <f t="shared" si="0"/>
        <v>122.83031261919226</v>
      </c>
      <c r="K15" s="72"/>
    </row>
    <row r="16" spans="1:11" s="28" customFormat="1" ht="17.100000000000001" customHeight="1" x14ac:dyDescent="0.25">
      <c r="A16" s="2">
        <v>12</v>
      </c>
      <c r="B16" s="4" t="s">
        <v>288</v>
      </c>
      <c r="C16" s="711"/>
      <c r="D16" s="711"/>
      <c r="E16" s="76">
        <v>255000</v>
      </c>
      <c r="F16" s="101"/>
      <c r="G16" s="77"/>
      <c r="H16" s="101">
        <f>SUM('[1]a) Příjmy'!$F$36:$F$37)</f>
        <v>225000</v>
      </c>
      <c r="I16" s="715">
        <f t="shared" si="0"/>
        <v>88.235294117647058</v>
      </c>
      <c r="K16" s="63"/>
    </row>
    <row r="17" spans="1:12" s="28" customFormat="1" ht="17.100000000000001" customHeight="1" x14ac:dyDescent="0.25">
      <c r="A17" s="1">
        <v>13</v>
      </c>
      <c r="B17" s="4" t="s">
        <v>11</v>
      </c>
      <c r="C17" s="711">
        <v>7280</v>
      </c>
      <c r="D17" s="711">
        <v>7780</v>
      </c>
      <c r="E17" s="76">
        <v>13417</v>
      </c>
      <c r="F17" s="77">
        <f>SUM([2]Příjmy!$F$47)</f>
        <v>12818</v>
      </c>
      <c r="G17" s="77">
        <v>11282</v>
      </c>
      <c r="H17" s="77">
        <f>SUM('[1]a) Příjmy'!$F$47)</f>
        <v>15838</v>
      </c>
      <c r="I17" s="715">
        <f t="shared" si="0"/>
        <v>118.04427219199522</v>
      </c>
      <c r="K17" s="63"/>
    </row>
    <row r="18" spans="1:12" s="61" customFormat="1" ht="27.75" customHeight="1" x14ac:dyDescent="0.2">
      <c r="A18" s="2">
        <v>14</v>
      </c>
      <c r="B18" s="4" t="s">
        <v>12</v>
      </c>
      <c r="C18" s="711">
        <v>63636</v>
      </c>
      <c r="D18" s="711">
        <v>65018</v>
      </c>
      <c r="E18" s="76">
        <v>34300</v>
      </c>
      <c r="F18" s="378">
        <f>SUM([2]Příjmy!$F$65)</f>
        <v>34300</v>
      </c>
      <c r="G18" s="76">
        <v>34300</v>
      </c>
      <c r="H18" s="378">
        <f>SUM('[1]a) Příjmy'!$F$65)</f>
        <v>30000</v>
      </c>
      <c r="I18" s="715">
        <f>H18/E18*100</f>
        <v>87.463556851311949</v>
      </c>
      <c r="K18" s="100"/>
    </row>
    <row r="19" spans="1:12" s="61" customFormat="1" ht="16.5" customHeight="1" x14ac:dyDescent="0.2">
      <c r="A19" s="1">
        <v>15</v>
      </c>
      <c r="B19" s="716" t="s">
        <v>351</v>
      </c>
      <c r="C19" s="465"/>
      <c r="D19" s="465"/>
      <c r="E19" s="471"/>
      <c r="F19" s="472"/>
      <c r="G19" s="471"/>
      <c r="H19" s="472">
        <f>SUM('[1]a) Příjmy'!$F$81)</f>
        <v>15003670</v>
      </c>
      <c r="I19" s="717"/>
      <c r="K19" s="100"/>
    </row>
    <row r="20" spans="1:12" s="723" customFormat="1" ht="24.95" customHeight="1" x14ac:dyDescent="0.25">
      <c r="A20" s="5">
        <v>16</v>
      </c>
      <c r="B20" s="718" t="s">
        <v>14</v>
      </c>
      <c r="C20" s="719">
        <f t="shared" ref="C20:G20" si="2">SUM(C5:C18)</f>
        <v>3950040</v>
      </c>
      <c r="D20" s="719">
        <f t="shared" si="2"/>
        <v>4575782</v>
      </c>
      <c r="E20" s="720">
        <f t="shared" si="2"/>
        <v>7872343.9999999991</v>
      </c>
      <c r="F20" s="720">
        <f t="shared" si="2"/>
        <v>5614809</v>
      </c>
      <c r="G20" s="720">
        <f t="shared" si="2"/>
        <v>5352768.2</v>
      </c>
      <c r="H20" s="721">
        <f>SUM(H5:H19)</f>
        <v>23527635</v>
      </c>
      <c r="I20" s="722">
        <f t="shared" si="0"/>
        <v>298.86441700210258</v>
      </c>
      <c r="K20" s="724"/>
    </row>
    <row r="21" spans="1:12" s="78" customFormat="1" ht="17.100000000000001" customHeight="1" x14ac:dyDescent="0.2">
      <c r="A21" s="5">
        <v>17</v>
      </c>
      <c r="B21" s="725" t="s">
        <v>15</v>
      </c>
      <c r="C21" s="726">
        <v>-6424</v>
      </c>
      <c r="D21" s="726">
        <v>-7171</v>
      </c>
      <c r="E21" s="727">
        <v>-13236</v>
      </c>
      <c r="F21" s="728">
        <v>-12814</v>
      </c>
      <c r="G21" s="727">
        <v>-11278</v>
      </c>
      <c r="H21" s="729">
        <v>-15297</v>
      </c>
      <c r="I21" s="730">
        <f t="shared" si="0"/>
        <v>115.57116953762466</v>
      </c>
      <c r="K21" s="79"/>
    </row>
    <row r="22" spans="1:12" s="28" customFormat="1" ht="24.75" customHeight="1" thickBot="1" x14ac:dyDescent="0.3">
      <c r="A22" s="731">
        <v>18</v>
      </c>
      <c r="B22" s="732" t="s">
        <v>19</v>
      </c>
      <c r="C22" s="733">
        <f t="shared" ref="C22:D22" si="3">SUM(C20:C21)</f>
        <v>3943616</v>
      </c>
      <c r="D22" s="733">
        <f t="shared" si="3"/>
        <v>4568611</v>
      </c>
      <c r="E22" s="734">
        <f>SUM(E20:E21)</f>
        <v>7859107.9999999991</v>
      </c>
      <c r="F22" s="734">
        <f t="shared" ref="F22" si="4">SUM(F20:F21)</f>
        <v>5601995</v>
      </c>
      <c r="G22" s="734">
        <f>SUM(G20:G21)</f>
        <v>5341490.2</v>
      </c>
      <c r="H22" s="735">
        <f>SUM(H20:H21)</f>
        <v>23512338</v>
      </c>
      <c r="I22" s="736">
        <f t="shared" si="0"/>
        <v>299.17311226668477</v>
      </c>
      <c r="J22" s="63"/>
      <c r="K22" s="63"/>
    </row>
    <row r="23" spans="1:12" ht="15.75" thickTop="1" x14ac:dyDescent="0.25">
      <c r="E23" s="349"/>
      <c r="F23" s="349"/>
      <c r="G23" s="349"/>
      <c r="H23" s="372"/>
    </row>
    <row r="24" spans="1:12" ht="16.5" thickBot="1" x14ac:dyDescent="0.3">
      <c r="A24" s="23" t="s">
        <v>37</v>
      </c>
      <c r="B24" s="87"/>
      <c r="C24" s="28"/>
      <c r="D24" s="28"/>
      <c r="E24" s="372"/>
      <c r="F24" s="372"/>
      <c r="G24" s="372"/>
      <c r="H24" s="372"/>
      <c r="I24" s="88" t="s">
        <v>0</v>
      </c>
    </row>
    <row r="25" spans="1:12" s="367" customFormat="1" ht="38.25" customHeight="1" thickTop="1" thickBot="1" x14ac:dyDescent="0.25">
      <c r="A25" s="21" t="s">
        <v>1</v>
      </c>
      <c r="B25" s="11" t="s">
        <v>16</v>
      </c>
      <c r="C25" s="89" t="s">
        <v>74</v>
      </c>
      <c r="D25" s="89" t="s">
        <v>75</v>
      </c>
      <c r="E25" s="373" t="s">
        <v>371</v>
      </c>
      <c r="F25" s="374" t="s">
        <v>95</v>
      </c>
      <c r="G25" s="373" t="s">
        <v>230</v>
      </c>
      <c r="H25" s="375" t="s">
        <v>372</v>
      </c>
      <c r="I25" s="376" t="s">
        <v>2</v>
      </c>
      <c r="J25" s="583"/>
      <c r="K25" s="484"/>
    </row>
    <row r="26" spans="1:12" s="365" customFormat="1" ht="12.75" thickTop="1" thickBot="1" x14ac:dyDescent="0.25">
      <c r="A26" s="12">
        <v>1</v>
      </c>
      <c r="B26" s="13">
        <v>2</v>
      </c>
      <c r="C26" s="14">
        <v>3</v>
      </c>
      <c r="D26" s="14">
        <v>4</v>
      </c>
      <c r="E26" s="14">
        <v>3</v>
      </c>
      <c r="F26" s="18">
        <v>4</v>
      </c>
      <c r="G26" s="18">
        <v>4</v>
      </c>
      <c r="H26" s="379">
        <v>4</v>
      </c>
      <c r="I26" s="15" t="s">
        <v>282</v>
      </c>
      <c r="J26" s="584"/>
      <c r="K26" s="366"/>
    </row>
    <row r="27" spans="1:12" ht="17.100000000000001" customHeight="1" thickTop="1" x14ac:dyDescent="0.25">
      <c r="A27" s="1">
        <v>1</v>
      </c>
      <c r="B27" s="65" t="s">
        <v>76</v>
      </c>
      <c r="C27" s="25">
        <f>SUM([3]celkem!$D$24)</f>
        <v>529104</v>
      </c>
      <c r="D27" s="25">
        <f>SUM([3]celkem!$E$24)</f>
        <v>561055</v>
      </c>
      <c r="E27" s="370">
        <f>SUM([4]celkem!$F$25)</f>
        <v>1223558</v>
      </c>
      <c r="F27" s="501">
        <f>SUM([5]celkem!$H$23)</f>
        <v>884329</v>
      </c>
      <c r="G27" s="370">
        <v>970350</v>
      </c>
      <c r="H27" s="847">
        <f>SUM([4]celkem!$H$25)</f>
        <v>1596360</v>
      </c>
      <c r="I27" s="95">
        <f t="shared" ref="I27:I57" si="5">H27/E27*100</f>
        <v>130.46868231828813</v>
      </c>
      <c r="J27" s="56"/>
    </row>
    <row r="28" spans="1:12" s="35" customFormat="1" ht="17.100000000000001" customHeight="1" x14ac:dyDescent="0.25">
      <c r="A28" s="54">
        <v>2</v>
      </c>
      <c r="B28" s="55" t="s">
        <v>50</v>
      </c>
      <c r="C28" s="27">
        <v>276809</v>
      </c>
      <c r="D28" s="27">
        <f>SUM([6]rekapitulace!$E$108)</f>
        <v>0</v>
      </c>
      <c r="E28" s="502">
        <f>SUM([7]rekapitulace!$E$120)</f>
        <v>553544</v>
      </c>
      <c r="F28" s="501">
        <f>SUM([8]rekapitulace!$G$139)</f>
        <v>778658</v>
      </c>
      <c r="G28" s="501">
        <v>473441</v>
      </c>
      <c r="H28" s="847">
        <f>SUM([9]rekapitulace!$G$120)</f>
        <v>752306</v>
      </c>
      <c r="I28" s="95">
        <f t="shared" si="5"/>
        <v>135.90717269087912</v>
      </c>
      <c r="J28" s="371"/>
      <c r="K28" s="72"/>
    </row>
    <row r="29" spans="1:12" s="28" customFormat="1" ht="17.100000000000001" customHeight="1" x14ac:dyDescent="0.25">
      <c r="A29" s="38">
        <v>3</v>
      </c>
      <c r="B29" s="39" t="s">
        <v>59</v>
      </c>
      <c r="C29" s="7">
        <f>SUM(C30,C41)</f>
        <v>2297356</v>
      </c>
      <c r="D29" s="7">
        <f>SUM(D30,D41)</f>
        <v>2401685</v>
      </c>
      <c r="E29" s="101">
        <f>SUM(E30,E40,E41)</f>
        <v>4429617</v>
      </c>
      <c r="F29" s="101">
        <f>SUM(F30,F40,F41)</f>
        <v>3486945</v>
      </c>
      <c r="G29" s="101">
        <f>SUM(G30,G40,G41)</f>
        <v>3622027</v>
      </c>
      <c r="H29" s="493">
        <f>SUM(H30,H40,H41)</f>
        <v>4713202</v>
      </c>
      <c r="I29" s="95">
        <f t="shared" si="5"/>
        <v>106.40202076161438</v>
      </c>
      <c r="J29" s="62"/>
      <c r="K29" s="63"/>
      <c r="L29" s="63"/>
    </row>
    <row r="30" spans="1:12" s="28" customFormat="1" ht="17.100000000000001" customHeight="1" x14ac:dyDescent="0.25">
      <c r="A30" s="86"/>
      <c r="B30" s="39" t="s">
        <v>60</v>
      </c>
      <c r="C30" s="26">
        <f t="shared" ref="C30:H30" si="6">SUM(C31:C39)</f>
        <v>1412556</v>
      </c>
      <c r="D30" s="26">
        <f t="shared" si="6"/>
        <v>1483580</v>
      </c>
      <c r="E30" s="351">
        <f t="shared" si="6"/>
        <v>2401752</v>
      </c>
      <c r="F30" s="351">
        <f t="shared" si="6"/>
        <v>2024058</v>
      </c>
      <c r="G30" s="351">
        <f t="shared" si="6"/>
        <v>2102349</v>
      </c>
      <c r="H30" s="495">
        <f t="shared" si="6"/>
        <v>2466157</v>
      </c>
      <c r="I30" s="95">
        <f t="shared" si="5"/>
        <v>102.68158411026617</v>
      </c>
      <c r="J30" s="62"/>
      <c r="K30" s="63"/>
      <c r="L30" s="63"/>
    </row>
    <row r="31" spans="1:12" s="28" customFormat="1" ht="17.100000000000001" customHeight="1" x14ac:dyDescent="0.25">
      <c r="A31" s="86"/>
      <c r="B31" s="40" t="s">
        <v>39</v>
      </c>
      <c r="C31" s="22">
        <v>911473</v>
      </c>
      <c r="D31" s="22">
        <v>936931</v>
      </c>
      <c r="E31" s="352">
        <f>SUM('[10]Sumář celkem'!$E$78)</f>
        <v>522551</v>
      </c>
      <c r="F31" s="352">
        <f>SUM('[11]Sumář celkem'!$H$65)</f>
        <v>612867</v>
      </c>
      <c r="G31" s="352">
        <v>639371</v>
      </c>
      <c r="H31" s="494">
        <f>SUM('[10]Sumář celkem'!$H$78)</f>
        <v>579514</v>
      </c>
      <c r="I31" s="95">
        <f t="shared" si="5"/>
        <v>110.90094555363974</v>
      </c>
      <c r="J31" s="62"/>
      <c r="K31" s="63"/>
    </row>
    <row r="32" spans="1:12" s="28" customFormat="1" ht="15.75" customHeight="1" x14ac:dyDescent="0.25">
      <c r="A32" s="86"/>
      <c r="B32" s="40" t="s">
        <v>41</v>
      </c>
      <c r="C32" s="22">
        <v>203064</v>
      </c>
      <c r="D32" s="22">
        <v>214886</v>
      </c>
      <c r="E32" s="352">
        <f>SUM('[10]Sumář celkem'!$E$79)</f>
        <v>1051286</v>
      </c>
      <c r="F32" s="352">
        <f>SUM('[11]Sumář celkem'!$H$66)</f>
        <v>939668</v>
      </c>
      <c r="G32" s="352">
        <v>992364</v>
      </c>
      <c r="H32" s="494">
        <f>SUM('[10]Sumář celkem'!$H$79)</f>
        <v>1095540</v>
      </c>
      <c r="I32" s="95">
        <f>H32/E32*100</f>
        <v>104.20951101793423</v>
      </c>
      <c r="J32" s="62"/>
      <c r="K32" s="63"/>
    </row>
    <row r="33" spans="1:11" s="28" customFormat="1" ht="17.100000000000001" customHeight="1" x14ac:dyDescent="0.25">
      <c r="A33" s="86"/>
      <c r="B33" s="40" t="s">
        <v>40</v>
      </c>
      <c r="C33" s="22">
        <v>286197</v>
      </c>
      <c r="D33" s="22">
        <v>309963</v>
      </c>
      <c r="E33" s="352">
        <f>SUM('[10]Sumář celkem'!$E$80)</f>
        <v>366351</v>
      </c>
      <c r="F33" s="352">
        <f>SUM('[11]Sumář celkem'!$H$67)</f>
        <v>437981</v>
      </c>
      <c r="G33" s="352">
        <v>438351</v>
      </c>
      <c r="H33" s="494">
        <f>SUM('[10]Sumář celkem'!$H$80)</f>
        <v>394406</v>
      </c>
      <c r="I33" s="96">
        <f>H33/E33*100</f>
        <v>107.65795644068122</v>
      </c>
      <c r="J33" s="62"/>
      <c r="K33" s="63"/>
    </row>
    <row r="34" spans="1:11" s="28" customFormat="1" ht="17.100000000000001" customHeight="1" x14ac:dyDescent="0.25">
      <c r="A34" s="586"/>
      <c r="B34" s="41" t="s">
        <v>48</v>
      </c>
      <c r="C34" s="64">
        <v>1793</v>
      </c>
      <c r="D34" s="64">
        <v>19856</v>
      </c>
      <c r="E34" s="353">
        <f>SUM('[10]Sumář celkem'!$E$81)</f>
        <v>11503</v>
      </c>
      <c r="F34" s="500">
        <f>SUM('[11]Sumář celkem'!$H$68)</f>
        <v>11530</v>
      </c>
      <c r="G34" s="353">
        <v>10008</v>
      </c>
      <c r="H34" s="494">
        <f>SUM('[10]Sumář celkem'!$H$81)</f>
        <v>45502</v>
      </c>
      <c r="I34" s="96">
        <f>H34/E34*100</f>
        <v>395.56637398939409</v>
      </c>
      <c r="J34" s="63"/>
      <c r="K34" s="63"/>
    </row>
    <row r="35" spans="1:11" s="28" customFormat="1" ht="17.100000000000001" customHeight="1" x14ac:dyDescent="0.25">
      <c r="A35" s="86"/>
      <c r="B35" s="40" t="s">
        <v>42</v>
      </c>
      <c r="C35" s="22">
        <f>9849+180</f>
        <v>10029</v>
      </c>
      <c r="D35" s="22">
        <f>1744+200</f>
        <v>1944</v>
      </c>
      <c r="E35" s="352">
        <f>SUM('[10]Sumář celkem'!$E$82:$E$83,'[10]Sumář celkem'!$E$88)</f>
        <v>2567</v>
      </c>
      <c r="F35" s="352">
        <f>SUM('[11]Sumář celkem'!$H$69:$H$71)</f>
        <v>2012</v>
      </c>
      <c r="G35" s="352">
        <v>2012</v>
      </c>
      <c r="H35" s="350">
        <f>SUM('[10]Sumář celkem'!$H$82:$H$83,'[10]Sumář celkem'!$H$87:$H$88)</f>
        <v>7153</v>
      </c>
      <c r="I35" s="95">
        <f>H35/E35*100</f>
        <v>278.65212310089601</v>
      </c>
      <c r="J35" s="62"/>
      <c r="K35" s="63"/>
    </row>
    <row r="36" spans="1:11" s="28" customFormat="1" ht="17.100000000000001" customHeight="1" x14ac:dyDescent="0.25">
      <c r="A36" s="86"/>
      <c r="B36" s="40" t="s">
        <v>286</v>
      </c>
      <c r="C36" s="22"/>
      <c r="D36" s="22"/>
      <c r="E36" s="352">
        <f>SUM('[10]Sumář celkem'!$E$84)</f>
        <v>132851</v>
      </c>
      <c r="F36" s="352"/>
      <c r="G36" s="352"/>
      <c r="H36" s="494">
        <f>SUM('[10]Sumář celkem'!$H$84)</f>
        <v>114124</v>
      </c>
      <c r="I36" s="95">
        <f t="shared" ref="I36:I38" si="7">H36/E36*100</f>
        <v>85.903756840370036</v>
      </c>
      <c r="J36" s="62"/>
      <c r="K36" s="63"/>
    </row>
    <row r="37" spans="1:11" s="28" customFormat="1" ht="17.100000000000001" customHeight="1" x14ac:dyDescent="0.25">
      <c r="A37" s="86"/>
      <c r="B37" s="40" t="s">
        <v>287</v>
      </c>
      <c r="C37" s="22"/>
      <c r="D37" s="22"/>
      <c r="E37" s="352">
        <f>SUM('[10]Sumář celkem'!$E$85)</f>
        <v>119766</v>
      </c>
      <c r="F37" s="352"/>
      <c r="G37" s="352"/>
      <c r="H37" s="494">
        <f>SUM('[10]Sumář celkem'!$H$85)</f>
        <v>107323</v>
      </c>
      <c r="I37" s="95">
        <f t="shared" si="7"/>
        <v>89.61057395254079</v>
      </c>
      <c r="J37" s="62"/>
      <c r="K37" s="63"/>
    </row>
    <row r="38" spans="1:11" s="28" customFormat="1" ht="17.100000000000001" customHeight="1" x14ac:dyDescent="0.25">
      <c r="A38" s="86"/>
      <c r="B38" s="40" t="s">
        <v>328</v>
      </c>
      <c r="C38" s="22"/>
      <c r="D38" s="22"/>
      <c r="E38" s="352">
        <f>SUM('[10]Sumář celkem'!$E$86)</f>
        <v>54877</v>
      </c>
      <c r="F38" s="352"/>
      <c r="G38" s="352"/>
      <c r="H38" s="494">
        <f>SUM('[10]Sumář celkem'!$H$86)</f>
        <v>52595</v>
      </c>
      <c r="I38" s="95">
        <f t="shared" si="7"/>
        <v>95.841609417424422</v>
      </c>
      <c r="J38" s="62"/>
      <c r="K38" s="63"/>
    </row>
    <row r="39" spans="1:11" s="28" customFormat="1" ht="17.100000000000001" customHeight="1" x14ac:dyDescent="0.25">
      <c r="A39" s="86"/>
      <c r="B39" s="40" t="s">
        <v>49</v>
      </c>
      <c r="C39" s="22">
        <v>0</v>
      </c>
      <c r="D39" s="22">
        <v>0</v>
      </c>
      <c r="E39" s="352">
        <f>SUM('[10]Sumář celkem'!$E$89)</f>
        <v>140000</v>
      </c>
      <c r="F39" s="352">
        <f>SUM('[11]Sumář celkem'!$H$72)</f>
        <v>20000</v>
      </c>
      <c r="G39" s="352">
        <v>20243</v>
      </c>
      <c r="H39" s="350">
        <f>SUM('[10]Sumář celkem'!$H$89)</f>
        <v>70000</v>
      </c>
      <c r="I39" s="95">
        <f t="shared" si="5"/>
        <v>50</v>
      </c>
      <c r="J39" s="62"/>
      <c r="K39" s="63"/>
    </row>
    <row r="40" spans="1:11" s="28" customFormat="1" ht="17.100000000000001" customHeight="1" x14ac:dyDescent="0.25">
      <c r="A40" s="86"/>
      <c r="B40" s="39" t="s">
        <v>85</v>
      </c>
      <c r="C40" s="22"/>
      <c r="D40" s="22"/>
      <c r="E40" s="351">
        <f>SUM('[10]Sumář celkem'!$E$91)</f>
        <v>865</v>
      </c>
      <c r="F40" s="351">
        <f>SUM('[11]Sumář celkem'!$H$76)</f>
        <v>595</v>
      </c>
      <c r="G40" s="354">
        <v>595</v>
      </c>
      <c r="H40" s="354">
        <f>SUM('[10]Sumář celkem'!$H$91)</f>
        <v>1045</v>
      </c>
      <c r="I40" s="95">
        <f t="shared" si="5"/>
        <v>120.80924855491328</v>
      </c>
      <c r="J40" s="62"/>
      <c r="K40" s="63"/>
    </row>
    <row r="41" spans="1:11" s="28" customFormat="1" ht="17.100000000000001" customHeight="1" x14ac:dyDescent="0.25">
      <c r="A41" s="86"/>
      <c r="B41" s="40" t="s">
        <v>86</v>
      </c>
      <c r="C41" s="26">
        <v>884800</v>
      </c>
      <c r="D41" s="26">
        <v>918105</v>
      </c>
      <c r="E41" s="351">
        <f>SUM('[10]Sumář celkem'!$E$92)</f>
        <v>2027000</v>
      </c>
      <c r="F41" s="351">
        <f>SUM('[11]Sumář celkem'!$H$77)</f>
        <v>1462292</v>
      </c>
      <c r="G41" s="354">
        <v>1519083</v>
      </c>
      <c r="H41" s="354">
        <f>SUM('[10]Sumář celkem'!$H$92)</f>
        <v>2246000</v>
      </c>
      <c r="I41" s="95">
        <f t="shared" si="5"/>
        <v>110.80414405525407</v>
      </c>
      <c r="J41" s="62"/>
      <c r="K41" s="63"/>
    </row>
    <row r="42" spans="1:11" s="28" customFormat="1" ht="17.25" customHeight="1" x14ac:dyDescent="0.25">
      <c r="A42" s="1">
        <v>4</v>
      </c>
      <c r="B42" s="3" t="s">
        <v>17</v>
      </c>
      <c r="C42" s="7">
        <v>6748</v>
      </c>
      <c r="D42" s="7">
        <v>8561</v>
      </c>
      <c r="E42" s="101">
        <f>SUM('[12]ORJ - 199'!$D$15)</f>
        <v>13417</v>
      </c>
      <c r="F42" s="377">
        <f>SUM('[13]ORJ - 199'!$G$15)</f>
        <v>12818</v>
      </c>
      <c r="G42" s="501">
        <v>15575</v>
      </c>
      <c r="H42" s="501">
        <f>SUM('[12]ORJ - 199'!$F$15)</f>
        <v>15838</v>
      </c>
      <c r="I42" s="95">
        <f t="shared" si="5"/>
        <v>118.04427219199522</v>
      </c>
      <c r="J42" s="62"/>
      <c r="K42" s="63"/>
    </row>
    <row r="43" spans="1:11" s="61" customFormat="1" ht="31.5" customHeight="1" x14ac:dyDescent="0.2">
      <c r="A43" s="2">
        <v>5</v>
      </c>
      <c r="B43" s="4" t="s">
        <v>12</v>
      </c>
      <c r="C43" s="8">
        <v>76597</v>
      </c>
      <c r="D43" s="8">
        <v>54670</v>
      </c>
      <c r="E43" s="378">
        <f>SUM('[14]ORJ - 99'!$D$15)</f>
        <v>34300</v>
      </c>
      <c r="F43" s="378">
        <f>SUM('[15]ORJ - 99'!$D$14)</f>
        <v>34300</v>
      </c>
      <c r="G43" s="378">
        <v>41173</v>
      </c>
      <c r="H43" s="378">
        <f>SUM('[14]ORJ - 99'!$F$15)</f>
        <v>40000</v>
      </c>
      <c r="I43" s="99">
        <f t="shared" si="5"/>
        <v>116.61807580174927</v>
      </c>
      <c r="J43" s="60"/>
      <c r="K43" s="100"/>
    </row>
    <row r="44" spans="1:11" s="61" customFormat="1" ht="23.25" customHeight="1" x14ac:dyDescent="0.2">
      <c r="A44" s="2">
        <v>6</v>
      </c>
      <c r="B44" s="4" t="s">
        <v>351</v>
      </c>
      <c r="C44" s="593"/>
      <c r="D44" s="593"/>
      <c r="E44" s="378"/>
      <c r="F44" s="378"/>
      <c r="G44" s="378"/>
      <c r="H44" s="378">
        <f>SUM([16]celkem!$H$12)</f>
        <v>15003670</v>
      </c>
      <c r="I44" s="99"/>
      <c r="J44" s="60"/>
      <c r="K44" s="100"/>
    </row>
    <row r="45" spans="1:11" s="97" customFormat="1" ht="17.100000000000001" customHeight="1" x14ac:dyDescent="0.25">
      <c r="A45" s="2">
        <v>7</v>
      </c>
      <c r="B45" s="80" t="s">
        <v>58</v>
      </c>
      <c r="C45" s="869">
        <v>915943</v>
      </c>
      <c r="D45" s="869">
        <v>937630</v>
      </c>
      <c r="E45" s="76">
        <f t="shared" ref="E45:G45" si="8">SUM(E46:E52,E54,E56)</f>
        <v>2223234</v>
      </c>
      <c r="F45" s="76">
        <f t="shared" si="8"/>
        <v>1486706.85</v>
      </c>
      <c r="G45" s="76">
        <f t="shared" si="8"/>
        <v>0</v>
      </c>
      <c r="H45" s="378">
        <f>SUM(H46:H52,H54,H56,H58)</f>
        <v>3082302</v>
      </c>
      <c r="I45" s="99">
        <f t="shared" si="5"/>
        <v>138.64046699537701</v>
      </c>
      <c r="J45" s="694"/>
      <c r="K45" s="98"/>
    </row>
    <row r="46" spans="1:11" s="97" customFormat="1" ht="17.100000000000001" customHeight="1" x14ac:dyDescent="0.25">
      <c r="A46" s="1"/>
      <c r="B46" s="81" t="s">
        <v>229</v>
      </c>
      <c r="C46" s="870"/>
      <c r="D46" s="870"/>
      <c r="E46" s="381">
        <v>19233</v>
      </c>
      <c r="F46" s="381">
        <f>SUM([17]Souhrn!$J$5)</f>
        <v>600808</v>
      </c>
      <c r="G46" s="693" t="s">
        <v>278</v>
      </c>
      <c r="H46" s="592">
        <f>SUM('[18]Souhrn '!$G$5)</f>
        <v>31945</v>
      </c>
      <c r="I46" s="598">
        <f t="shared" si="5"/>
        <v>166.09473301097074</v>
      </c>
      <c r="J46" s="98"/>
      <c r="K46" s="98"/>
    </row>
    <row r="47" spans="1:11" s="97" customFormat="1" ht="17.100000000000001" customHeight="1" x14ac:dyDescent="0.25">
      <c r="A47" s="1"/>
      <c r="B47" s="81" t="s">
        <v>277</v>
      </c>
      <c r="C47" s="870"/>
      <c r="D47" s="870"/>
      <c r="E47" s="381">
        <v>283300</v>
      </c>
      <c r="F47" s="381"/>
      <c r="G47" s="693" t="s">
        <v>278</v>
      </c>
      <c r="H47" s="381">
        <f>SUM('[18]Souhrn '!$H$6)</f>
        <v>413740</v>
      </c>
      <c r="I47" s="598">
        <f t="shared" si="5"/>
        <v>146.04306388986942</v>
      </c>
      <c r="J47" s="98"/>
      <c r="K47" s="98"/>
    </row>
    <row r="48" spans="1:11" s="97" customFormat="1" ht="17.100000000000001" customHeight="1" x14ac:dyDescent="0.25">
      <c r="A48" s="1"/>
      <c r="B48" s="81" t="s">
        <v>374</v>
      </c>
      <c r="C48" s="870"/>
      <c r="D48" s="870"/>
      <c r="E48" s="381"/>
      <c r="F48" s="381"/>
      <c r="G48" s="693"/>
      <c r="H48" s="381">
        <f>SUM('[18]Souhrn '!$H$7)</f>
        <v>55821</v>
      </c>
      <c r="I48" s="598"/>
      <c r="J48" s="98"/>
      <c r="K48" s="98"/>
    </row>
    <row r="49" spans="1:11" s="97" customFormat="1" ht="17.100000000000001" customHeight="1" x14ac:dyDescent="0.25">
      <c r="A49" s="1"/>
      <c r="B49" s="81" t="s">
        <v>375</v>
      </c>
      <c r="C49" s="870"/>
      <c r="D49" s="870"/>
      <c r="E49" s="381">
        <v>58980</v>
      </c>
      <c r="F49" s="381"/>
      <c r="G49" s="693" t="s">
        <v>278</v>
      </c>
      <c r="H49" s="381">
        <f>SUM('[18]Souhrn '!$G$8)</f>
        <v>54336</v>
      </c>
      <c r="I49" s="598">
        <f t="shared" si="5"/>
        <v>92.12614445574772</v>
      </c>
      <c r="J49" s="98"/>
      <c r="K49" s="98"/>
    </row>
    <row r="50" spans="1:11" s="97" customFormat="1" ht="17.100000000000001" customHeight="1" x14ac:dyDescent="0.25">
      <c r="A50" s="1"/>
      <c r="B50" s="81" t="s">
        <v>376</v>
      </c>
      <c r="C50" s="870"/>
      <c r="D50" s="870"/>
      <c r="E50" s="381">
        <v>574385</v>
      </c>
      <c r="F50" s="381"/>
      <c r="G50" s="693" t="s">
        <v>278</v>
      </c>
      <c r="H50" s="381">
        <f>SUM('[18]Souhrn '!$G$9)</f>
        <v>914264</v>
      </c>
      <c r="I50" s="598">
        <f t="shared" si="5"/>
        <v>159.17268034506472</v>
      </c>
      <c r="J50" s="98"/>
      <c r="K50" s="98"/>
    </row>
    <row r="51" spans="1:11" s="97" customFormat="1" ht="17.100000000000001" customHeight="1" x14ac:dyDescent="0.25">
      <c r="A51" s="1"/>
      <c r="B51" s="81" t="s">
        <v>377</v>
      </c>
      <c r="C51" s="870"/>
      <c r="D51" s="870"/>
      <c r="E51" s="381">
        <v>24471</v>
      </c>
      <c r="F51" s="381"/>
      <c r="G51" s="693" t="s">
        <v>278</v>
      </c>
      <c r="H51" s="381">
        <f>SUM('[18]Souhrn '!$H$10)</f>
        <v>27051</v>
      </c>
      <c r="I51" s="598">
        <f t="shared" si="5"/>
        <v>110.54309182297413</v>
      </c>
      <c r="J51" s="98"/>
      <c r="K51" s="98"/>
    </row>
    <row r="52" spans="1:11" s="97" customFormat="1" ht="17.100000000000001" customHeight="1" x14ac:dyDescent="0.25">
      <c r="A52" s="1"/>
      <c r="B52" s="81" t="s">
        <v>378</v>
      </c>
      <c r="C52" s="870"/>
      <c r="D52" s="870"/>
      <c r="E52" s="381">
        <v>62725</v>
      </c>
      <c r="F52" s="381">
        <f>SUM([17]Souhrn!$J$8)</f>
        <v>885898.85</v>
      </c>
      <c r="G52" s="693" t="s">
        <v>278</v>
      </c>
      <c r="H52" s="381">
        <f>SUM('[18]Souhrn '!$H$11)</f>
        <v>44845</v>
      </c>
      <c r="I52" s="598">
        <f t="shared" si="5"/>
        <v>71.494619370267046</v>
      </c>
      <c r="J52" s="694"/>
      <c r="K52" s="98"/>
    </row>
    <row r="53" spans="1:11" s="97" customFormat="1" ht="17.100000000000001" customHeight="1" x14ac:dyDescent="0.25">
      <c r="A53" s="1"/>
      <c r="B53" s="695" t="s">
        <v>330</v>
      </c>
      <c r="C53" s="870"/>
      <c r="D53" s="870"/>
      <c r="E53" s="381">
        <v>31210</v>
      </c>
      <c r="F53" s="381">
        <f>SUM([17]Souhrn!$H$13)</f>
        <v>484721.35</v>
      </c>
      <c r="G53" s="693" t="s">
        <v>278</v>
      </c>
      <c r="H53" s="381">
        <f>SUM('[18]Souhrn '!$D$11)</f>
        <v>11138</v>
      </c>
      <c r="I53" s="598">
        <f t="shared" si="5"/>
        <v>35.687279718039086</v>
      </c>
      <c r="J53" s="694"/>
      <c r="K53" s="98"/>
    </row>
    <row r="54" spans="1:11" s="97" customFormat="1" ht="17.100000000000001" customHeight="1" x14ac:dyDescent="0.25">
      <c r="A54" s="1"/>
      <c r="B54" s="594" t="s">
        <v>379</v>
      </c>
      <c r="C54" s="870"/>
      <c r="D54" s="870"/>
      <c r="E54" s="381">
        <v>1003025</v>
      </c>
      <c r="F54" s="382">
        <v>0</v>
      </c>
      <c r="G54" s="696" t="s">
        <v>278</v>
      </c>
      <c r="H54" s="382">
        <f>SUM('[18]Souhrn '!$H$12)</f>
        <v>1069825</v>
      </c>
      <c r="I54" s="598">
        <f t="shared" si="5"/>
        <v>106.65985394182597</v>
      </c>
      <c r="J54" s="694"/>
      <c r="K54" s="98"/>
    </row>
    <row r="55" spans="1:11" s="97" customFormat="1" ht="17.100000000000001" customHeight="1" x14ac:dyDescent="0.25">
      <c r="A55" s="1"/>
      <c r="B55" s="697" t="s">
        <v>329</v>
      </c>
      <c r="C55" s="871"/>
      <c r="D55" s="871"/>
      <c r="E55" s="381">
        <v>488136</v>
      </c>
      <c r="F55" s="381">
        <f>SUM([17]Souhrn!$J$12)</f>
        <v>0</v>
      </c>
      <c r="G55" s="693" t="s">
        <v>278</v>
      </c>
      <c r="H55" s="381">
        <f>SUM('[18]Souhrn '!$D$12)</f>
        <v>550024</v>
      </c>
      <c r="I55" s="598">
        <f t="shared" si="5"/>
        <v>112.67843387908287</v>
      </c>
      <c r="J55" s="694"/>
      <c r="K55" s="98"/>
    </row>
    <row r="56" spans="1:11" s="97" customFormat="1" ht="17.100000000000001" customHeight="1" x14ac:dyDescent="0.25">
      <c r="A56" s="470"/>
      <c r="B56" s="534" t="s">
        <v>380</v>
      </c>
      <c r="C56" s="600"/>
      <c r="D56" s="600"/>
      <c r="E56" s="533">
        <v>197115</v>
      </c>
      <c r="F56" s="533"/>
      <c r="G56" s="698"/>
      <c r="H56" s="533">
        <f>SUM('[18]Souhrn '!$H$13)</f>
        <v>451272</v>
      </c>
      <c r="I56" s="598">
        <f t="shared" si="5"/>
        <v>228.9384369530477</v>
      </c>
      <c r="J56" s="694"/>
      <c r="K56" s="98"/>
    </row>
    <row r="57" spans="1:11" s="97" customFormat="1" ht="17.100000000000001" customHeight="1" x14ac:dyDescent="0.25">
      <c r="A57" s="470"/>
      <c r="B57" s="697" t="s">
        <v>329</v>
      </c>
      <c r="C57" s="599"/>
      <c r="D57" s="599"/>
      <c r="E57" s="382">
        <v>16380</v>
      </c>
      <c r="F57" s="382">
        <f>SUM([17]Souhrn!$J$12)</f>
        <v>0</v>
      </c>
      <c r="G57" s="696" t="s">
        <v>278</v>
      </c>
      <c r="H57" s="382">
        <f>SUM('[18]Souhrn '!$D$13)</f>
        <v>142815</v>
      </c>
      <c r="I57" s="598">
        <f t="shared" si="5"/>
        <v>871.88644688644695</v>
      </c>
      <c r="J57" s="694"/>
      <c r="K57" s="98"/>
    </row>
    <row r="58" spans="1:11" s="97" customFormat="1" ht="17.100000000000001" customHeight="1" x14ac:dyDescent="0.25">
      <c r="A58" s="595"/>
      <c r="B58" s="596" t="s">
        <v>381</v>
      </c>
      <c r="C58" s="489"/>
      <c r="D58" s="489"/>
      <c r="E58" s="597"/>
      <c r="F58" s="597"/>
      <c r="G58" s="699"/>
      <c r="H58" s="597">
        <f>SUM('[18]Souhrn '!$G$14)</f>
        <v>19203</v>
      </c>
      <c r="I58" s="99"/>
      <c r="J58" s="694"/>
      <c r="K58" s="98"/>
    </row>
    <row r="59" spans="1:11" s="28" customFormat="1" ht="24.95" customHeight="1" x14ac:dyDescent="0.25">
      <c r="A59" s="5">
        <v>8</v>
      </c>
      <c r="B59" s="9" t="s">
        <v>18</v>
      </c>
      <c r="C59" s="10">
        <f>SUM(C27,C28,C29,C42,C43,C45)</f>
        <v>4102557</v>
      </c>
      <c r="D59" s="10">
        <f>SUM(D27,D28,D29,D42,D43,D45)</f>
        <v>3963601</v>
      </c>
      <c r="E59" s="383">
        <f>SUM(E27,E28:E29,E42:E45)</f>
        <v>8477670</v>
      </c>
      <c r="F59" s="383">
        <f>SUM(F27,F28:F29,F42:F45)</f>
        <v>6683756.8499999996</v>
      </c>
      <c r="G59" s="383">
        <f>SUM(G27,G28:G29,G42:G45)</f>
        <v>5122566</v>
      </c>
      <c r="H59" s="383">
        <f>SUM(H27,H28:H29,H42:H45)</f>
        <v>25203678</v>
      </c>
      <c r="I59" s="490">
        <f>H59/E59*100</f>
        <v>297.29486993478162</v>
      </c>
      <c r="J59" s="62"/>
      <c r="K59" s="63"/>
    </row>
    <row r="60" spans="1:11" s="78" customFormat="1" ht="17.100000000000001" customHeight="1" x14ac:dyDescent="0.2">
      <c r="A60" s="5">
        <v>9</v>
      </c>
      <c r="B60" s="69" t="s">
        <v>15</v>
      </c>
      <c r="C60" s="67">
        <v>-6424</v>
      </c>
      <c r="D60" s="67">
        <v>-7171</v>
      </c>
      <c r="E60" s="384">
        <v>-13236</v>
      </c>
      <c r="F60" s="385">
        <v>-12814</v>
      </c>
      <c r="G60" s="385">
        <v>-11278</v>
      </c>
      <c r="H60" s="385">
        <v>-15297</v>
      </c>
      <c r="I60" s="587">
        <f>H60/E60*100</f>
        <v>115.57116953762466</v>
      </c>
      <c r="J60" s="588"/>
      <c r="K60" s="79"/>
    </row>
    <row r="61" spans="1:11" s="388" customFormat="1" ht="24.95" customHeight="1" thickBot="1" x14ac:dyDescent="0.3">
      <c r="A61" s="70">
        <v>10</v>
      </c>
      <c r="B61" s="71" t="s">
        <v>35</v>
      </c>
      <c r="C61" s="68">
        <f t="shared" ref="C61" si="9">SUM(C59:C60)</f>
        <v>4096133</v>
      </c>
      <c r="D61" s="68">
        <f t="shared" ref="D61:G61" si="10">SUM(D59:D60)</f>
        <v>3956430</v>
      </c>
      <c r="E61" s="386">
        <f t="shared" si="10"/>
        <v>8464434</v>
      </c>
      <c r="F61" s="386">
        <f t="shared" si="10"/>
        <v>6670942.8499999996</v>
      </c>
      <c r="G61" s="386">
        <f t="shared" si="10"/>
        <v>5111288</v>
      </c>
      <c r="H61" s="386">
        <f>SUM(H59:H60)</f>
        <v>25188381</v>
      </c>
      <c r="I61" s="491">
        <f>H61/E61*100</f>
        <v>297.57903481792164</v>
      </c>
      <c r="J61" s="589"/>
      <c r="K61" s="387"/>
    </row>
    <row r="62" spans="1:11" ht="15.75" thickTop="1" x14ac:dyDescent="0.25">
      <c r="A62" s="58"/>
      <c r="E62" s="349"/>
      <c r="F62" s="349"/>
      <c r="G62" s="349"/>
      <c r="H62" s="372"/>
      <c r="I62" s="57"/>
      <c r="J62" s="56"/>
    </row>
    <row r="63" spans="1:11" s="28" customFormat="1" ht="16.5" thickBot="1" x14ac:dyDescent="0.3">
      <c r="A63" s="802" t="s">
        <v>43</v>
      </c>
      <c r="B63" s="87"/>
      <c r="E63" s="372"/>
      <c r="F63" s="372"/>
      <c r="G63" s="372"/>
      <c r="H63" s="372"/>
      <c r="I63" s="88" t="s">
        <v>0</v>
      </c>
      <c r="J63" s="62"/>
      <c r="K63" s="63"/>
    </row>
    <row r="64" spans="1:11" s="6" customFormat="1" ht="38.25" customHeight="1" thickTop="1" thickBot="1" x14ac:dyDescent="0.25">
      <c r="A64" s="21" t="s">
        <v>1</v>
      </c>
      <c r="B64" s="11" t="s">
        <v>16</v>
      </c>
      <c r="C64" s="89" t="s">
        <v>74</v>
      </c>
      <c r="D64" s="89" t="s">
        <v>75</v>
      </c>
      <c r="E64" s="373" t="s">
        <v>371</v>
      </c>
      <c r="F64" s="374" t="s">
        <v>95</v>
      </c>
      <c r="G64" s="373" t="s">
        <v>230</v>
      </c>
      <c r="H64" s="375" t="s">
        <v>372</v>
      </c>
      <c r="I64" s="376" t="s">
        <v>2</v>
      </c>
      <c r="J64" s="34"/>
      <c r="K64" s="19"/>
    </row>
    <row r="65" spans="1:11" s="805" customFormat="1" ht="12.75" thickTop="1" thickBot="1" x14ac:dyDescent="0.25">
      <c r="A65" s="12">
        <v>1</v>
      </c>
      <c r="B65" s="13">
        <v>2</v>
      </c>
      <c r="C65" s="14">
        <v>3</v>
      </c>
      <c r="D65" s="14">
        <v>4</v>
      </c>
      <c r="E65" s="14">
        <v>3</v>
      </c>
      <c r="F65" s="18">
        <v>4</v>
      </c>
      <c r="G65" s="18">
        <v>4</v>
      </c>
      <c r="H65" s="379">
        <v>4</v>
      </c>
      <c r="I65" s="15" t="s">
        <v>282</v>
      </c>
      <c r="J65" s="803"/>
      <c r="K65" s="804"/>
    </row>
    <row r="66" spans="1:11" s="59" customFormat="1" ht="31.5" customHeight="1" thickTop="1" x14ac:dyDescent="0.2">
      <c r="A66" s="817">
        <v>1</v>
      </c>
      <c r="B66" s="818" t="s">
        <v>327</v>
      </c>
      <c r="C66" s="819">
        <v>818235</v>
      </c>
      <c r="D66" s="819">
        <v>530440</v>
      </c>
      <c r="E66" s="820">
        <v>850000</v>
      </c>
      <c r="F66" s="620">
        <f>SUM('[19]zůstatek na účtu'!$G$13)</f>
        <v>0</v>
      </c>
      <c r="G66" s="620">
        <v>710900.5</v>
      </c>
      <c r="H66" s="370">
        <f>SUM('[20]zůstatek na účtu a zapojení úvě'!$G$14)</f>
        <v>1900000</v>
      </c>
      <c r="I66" s="823">
        <f>H66/E66*100</f>
        <v>223.52941176470588</v>
      </c>
      <c r="J66" s="619"/>
      <c r="K66" s="16"/>
    </row>
    <row r="67" spans="1:11" s="78" customFormat="1" ht="59.25" customHeight="1" x14ac:dyDescent="0.2">
      <c r="A67" s="470">
        <v>2</v>
      </c>
      <c r="B67" s="806" t="s">
        <v>373</v>
      </c>
      <c r="C67" s="807"/>
      <c r="D67" s="807"/>
      <c r="E67" s="808"/>
      <c r="F67" s="809"/>
      <c r="G67" s="809"/>
      <c r="H67" s="809">
        <v>10000</v>
      </c>
      <c r="I67" s="810"/>
      <c r="J67" s="588"/>
      <c r="K67" s="79"/>
    </row>
    <row r="68" spans="1:11" s="78" customFormat="1" ht="17.100000000000001" customHeight="1" x14ac:dyDescent="0.2">
      <c r="A68" s="811">
        <v>3</v>
      </c>
      <c r="B68" s="812" t="s">
        <v>208</v>
      </c>
      <c r="C68" s="813"/>
      <c r="D68" s="813"/>
      <c r="E68" s="814">
        <v>-244674</v>
      </c>
      <c r="F68" s="815"/>
      <c r="G68" s="815">
        <v>-340055</v>
      </c>
      <c r="H68" s="815">
        <f>-SUM('[20]Splátky úvěrů'!$G$15)</f>
        <v>-233957</v>
      </c>
      <c r="I68" s="816">
        <f t="shared" ref="I68" si="11">H68/E68*100</f>
        <v>95.619886052461638</v>
      </c>
      <c r="J68" s="588"/>
      <c r="K68" s="79"/>
    </row>
    <row r="69" spans="1:11" s="369" customFormat="1" ht="24.95" customHeight="1" thickBot="1" x14ac:dyDescent="0.3">
      <c r="A69" s="821">
        <v>4</v>
      </c>
      <c r="B69" s="822" t="s">
        <v>20</v>
      </c>
      <c r="C69" s="68" t="e">
        <f>C66+#REF!+#REF!</f>
        <v>#REF!</v>
      </c>
      <c r="D69" s="68" t="e">
        <f>D66+#REF!+#REF!</f>
        <v>#REF!</v>
      </c>
      <c r="E69" s="386">
        <f>SUM(E66:E68)</f>
        <v>605326</v>
      </c>
      <c r="F69" s="585">
        <f>SUM(F66:F68)</f>
        <v>0</v>
      </c>
      <c r="G69" s="585">
        <f>SUM(G66:G68)</f>
        <v>370845.5</v>
      </c>
      <c r="H69" s="386">
        <f>SUM(H66:H68)</f>
        <v>1676043</v>
      </c>
      <c r="I69" s="824">
        <f>H69/E69*100</f>
        <v>276.88270452615615</v>
      </c>
      <c r="J69" s="621"/>
      <c r="K69" s="368"/>
    </row>
    <row r="70" spans="1:11" ht="15.75" thickTop="1" x14ac:dyDescent="0.25">
      <c r="E70" s="349"/>
      <c r="F70" s="349"/>
      <c r="G70" s="349"/>
      <c r="H70" s="372"/>
      <c r="J70" s="56"/>
    </row>
    <row r="71" spans="1:11" s="84" customFormat="1" ht="16.5" hidden="1" thickBot="1" x14ac:dyDescent="0.3">
      <c r="A71" s="82" t="s">
        <v>88</v>
      </c>
      <c r="B71" s="83"/>
      <c r="C71" s="83"/>
      <c r="D71" s="83"/>
      <c r="E71" s="355"/>
      <c r="F71" s="356" t="e">
        <f>SUM(F74)</f>
        <v>#REF!</v>
      </c>
      <c r="G71" s="356"/>
      <c r="H71" s="842">
        <f>SUM(H74)</f>
        <v>0</v>
      </c>
      <c r="I71" s="82" t="s">
        <v>89</v>
      </c>
      <c r="K71" s="85"/>
    </row>
    <row r="72" spans="1:11" ht="15.75" x14ac:dyDescent="0.25">
      <c r="B72" s="91" t="s">
        <v>44</v>
      </c>
      <c r="C72" s="92">
        <f>SUM(C22,C66:D66)</f>
        <v>5292291</v>
      </c>
      <c r="D72" s="92">
        <f>SUM(D22,D66:D66)</f>
        <v>5099051</v>
      </c>
      <c r="E72" s="357">
        <f>SUM(E22,E66:E66)</f>
        <v>8709108</v>
      </c>
      <c r="F72" s="357">
        <f>SUM(F22,F66:F66)</f>
        <v>5601995</v>
      </c>
      <c r="G72" s="357">
        <f>SUM(G22,G66:G66)</f>
        <v>6052390.7000000002</v>
      </c>
      <c r="H72" s="843">
        <f>SUM(H22,H66:H67)</f>
        <v>25422338</v>
      </c>
    </row>
    <row r="73" spans="1:11" ht="15.75" x14ac:dyDescent="0.25">
      <c r="B73" s="91" t="s">
        <v>45</v>
      </c>
      <c r="C73" s="92" t="e">
        <f>SUM(C61-#REF!)</f>
        <v>#REF!</v>
      </c>
      <c r="D73" s="92" t="e">
        <f>SUM(D61-#REF!)</f>
        <v>#REF!</v>
      </c>
      <c r="E73" s="357">
        <f>E61-E68</f>
        <v>8709108</v>
      </c>
      <c r="F73" s="357" t="e">
        <f>F61-F68-#REF!</f>
        <v>#REF!</v>
      </c>
      <c r="G73" s="357" t="e">
        <f>G61-G68-#REF!</f>
        <v>#REF!</v>
      </c>
      <c r="H73" s="843">
        <f>H61-H68</f>
        <v>25422338</v>
      </c>
    </row>
    <row r="74" spans="1:11" ht="15.75" x14ac:dyDescent="0.25">
      <c r="B74" s="91" t="s">
        <v>46</v>
      </c>
      <c r="C74" s="92" t="e">
        <f t="shared" ref="C74:D74" si="12">C73-C72</f>
        <v>#REF!</v>
      </c>
      <c r="D74" s="92" t="e">
        <f t="shared" si="12"/>
        <v>#REF!</v>
      </c>
      <c r="E74" s="357">
        <f>E73-E72</f>
        <v>0</v>
      </c>
      <c r="F74" s="357" t="e">
        <f t="shared" ref="F74:G74" si="13">F73-F72</f>
        <v>#REF!</v>
      </c>
      <c r="G74" s="357" t="e">
        <f t="shared" si="13"/>
        <v>#REF!</v>
      </c>
      <c r="H74" s="843">
        <f>H72-H73</f>
        <v>0</v>
      </c>
    </row>
    <row r="75" spans="1:11" x14ac:dyDescent="0.25">
      <c r="B75" s="93"/>
      <c r="C75" s="94"/>
      <c r="D75" s="94"/>
      <c r="E75" s="358"/>
      <c r="F75" s="358"/>
      <c r="G75" s="358"/>
      <c r="H75" s="372"/>
    </row>
    <row r="76" spans="1:11" x14ac:dyDescent="0.25">
      <c r="E76" s="57"/>
    </row>
    <row r="77" spans="1:11" ht="15.75" x14ac:dyDescent="0.25">
      <c r="E77" s="66"/>
      <c r="F77" s="66"/>
      <c r="G77" s="66"/>
      <c r="H77" s="844"/>
    </row>
    <row r="78" spans="1:11" ht="15.75" x14ac:dyDescent="0.25">
      <c r="E78" s="66"/>
      <c r="F78" s="66"/>
      <c r="G78" s="66"/>
      <c r="H78" s="724"/>
    </row>
    <row r="79" spans="1:11" ht="15.75" x14ac:dyDescent="0.25">
      <c r="E79" s="66"/>
      <c r="F79" s="66"/>
      <c r="G79" s="66"/>
      <c r="H79" s="724"/>
    </row>
    <row r="80" spans="1:11" ht="15.75" x14ac:dyDescent="0.25">
      <c r="E80" s="66"/>
      <c r="F80" s="66"/>
      <c r="G80" s="66"/>
      <c r="H80" s="723"/>
    </row>
    <row r="81" spans="5:8" ht="15.75" x14ac:dyDescent="0.25">
      <c r="E81" s="66"/>
      <c r="F81" s="66"/>
      <c r="G81" s="66"/>
      <c r="H81" s="723"/>
    </row>
  </sheetData>
  <mergeCells count="2">
    <mergeCell ref="C45:C55"/>
    <mergeCell ref="D45:D5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5" firstPageNumber="7" orientation="portrait" useFirstPageNumber="1" r:id="rId1"/>
  <headerFooter>
    <oddFooter>&amp;L&amp;"Arial,Kurzíva"Zastupitelstvo Olomouckého kraje 16.12.2024
10.1. - Rozpočet Olomouckého kraje 2025 - návrh rozpočtu
Příloha č. 1: Návrh rozpočtu OK na rok 2024 (bilance) - zkrácená verze&amp;R&amp;"Arial,Kurzíva"Strana &amp;P (Celkem 205)</oddFooter>
  </headerFooter>
  <rowBreaks count="1" manualBreakCount="1">
    <brk id="74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</sheetPr>
  <dimension ref="A1:J96"/>
  <sheetViews>
    <sheetView showGridLines="0" view="pageBreakPreview" topLeftCell="A73" zoomScaleNormal="100" zoomScaleSheetLayoutView="100" workbookViewId="0">
      <selection activeCell="C21" sqref="C21"/>
    </sheetView>
  </sheetViews>
  <sheetFormatPr defaultColWidth="9.140625" defaultRowHeight="12.75" x14ac:dyDescent="0.2"/>
  <cols>
    <col min="1" max="1" width="5.7109375" style="151" customWidth="1"/>
    <col min="2" max="2" width="6.42578125" style="151" customWidth="1"/>
    <col min="3" max="3" width="49" style="151" customWidth="1"/>
    <col min="4" max="4" width="16.5703125" style="742" customWidth="1"/>
    <col min="5" max="5" width="17.7109375" style="742" customWidth="1"/>
    <col min="6" max="6" width="16.85546875" style="743" customWidth="1"/>
    <col min="7" max="7" width="9" style="737" customWidth="1"/>
    <col min="8" max="8" width="8" style="151" customWidth="1"/>
    <col min="9" max="9" width="17.28515625" style="151" customWidth="1"/>
    <col min="10" max="16384" width="9.140625" style="151"/>
  </cols>
  <sheetData>
    <row r="1" spans="1:7" ht="20.25" x14ac:dyDescent="0.3">
      <c r="A1" s="878" t="s">
        <v>508</v>
      </c>
      <c r="B1" s="879"/>
      <c r="C1" s="879"/>
      <c r="D1" s="879"/>
      <c r="E1" s="879"/>
      <c r="F1" s="879"/>
    </row>
    <row r="2" spans="1:7" ht="9.75" customHeight="1" x14ac:dyDescent="0.3">
      <c r="A2" s="738"/>
      <c r="B2" s="739"/>
      <c r="C2" s="739"/>
      <c r="D2" s="740"/>
      <c r="E2" s="740"/>
      <c r="F2" s="740"/>
    </row>
    <row r="3" spans="1:7" ht="21" customHeight="1" x14ac:dyDescent="0.3">
      <c r="A3" s="741" t="s">
        <v>36</v>
      </c>
      <c r="B3" s="739"/>
      <c r="C3" s="739"/>
      <c r="D3" s="740"/>
      <c r="E3" s="740"/>
      <c r="F3" s="740"/>
    </row>
    <row r="4" spans="1:7" ht="13.5" thickBot="1" x14ac:dyDescent="0.25">
      <c r="G4" s="744" t="s">
        <v>96</v>
      </c>
    </row>
    <row r="5" spans="1:7" s="745" customFormat="1" ht="40.5" customHeight="1" thickTop="1" thickBot="1" x14ac:dyDescent="0.3">
      <c r="A5" s="319" t="s">
        <v>97</v>
      </c>
      <c r="B5" s="320" t="s">
        <v>98</v>
      </c>
      <c r="C5" s="321" t="s">
        <v>99</v>
      </c>
      <c r="D5" s="110" t="s">
        <v>371</v>
      </c>
      <c r="E5" s="110" t="s">
        <v>382</v>
      </c>
      <c r="F5" s="110" t="s">
        <v>383</v>
      </c>
      <c r="G5" s="111" t="s">
        <v>2</v>
      </c>
    </row>
    <row r="6" spans="1:7" s="746" customFormat="1" ht="13.5" thickTop="1" thickBot="1" x14ac:dyDescent="0.25">
      <c r="A6" s="323">
        <v>1</v>
      </c>
      <c r="B6" s="324">
        <v>2</v>
      </c>
      <c r="C6" s="324">
        <v>3</v>
      </c>
      <c r="D6" s="325">
        <v>4</v>
      </c>
      <c r="E6" s="325">
        <v>5</v>
      </c>
      <c r="F6" s="325">
        <v>6</v>
      </c>
      <c r="G6" s="326" t="s">
        <v>100</v>
      </c>
    </row>
    <row r="7" spans="1:7" s="751" customFormat="1" ht="27.75" customHeight="1" thickTop="1" x14ac:dyDescent="0.2">
      <c r="A7" s="747"/>
      <c r="B7" s="748">
        <v>1111</v>
      </c>
      <c r="C7" s="749" t="s">
        <v>289</v>
      </c>
      <c r="D7" s="750">
        <f>SUM('[1]b) daně'!C10)</f>
        <v>1100000</v>
      </c>
      <c r="E7" s="750">
        <f>'[1]b) daně'!D10</f>
        <v>1100000</v>
      </c>
      <c r="F7" s="515">
        <f>SUM('[1]b) daně'!J10)</f>
        <v>1400000</v>
      </c>
      <c r="G7" s="580">
        <f>F7/D7*100</f>
        <v>127.27272727272727</v>
      </c>
    </row>
    <row r="8" spans="1:7" s="751" customFormat="1" ht="30.75" customHeight="1" x14ac:dyDescent="0.2">
      <c r="A8" s="752"/>
      <c r="B8" s="753">
        <v>1112</v>
      </c>
      <c r="C8" s="754" t="s">
        <v>290</v>
      </c>
      <c r="D8" s="755">
        <f>SUM('[1]b) daně'!C11)</f>
        <v>70000</v>
      </c>
      <c r="E8" s="755">
        <f>'[1]b) daně'!D11</f>
        <v>70000</v>
      </c>
      <c r="F8" s="476">
        <f>SUM('[1]b) daně'!J11)</f>
        <v>100000</v>
      </c>
      <c r="G8" s="457">
        <f t="shared" ref="G8:G11" si="0">F8/D8*100</f>
        <v>142.85714285714286</v>
      </c>
    </row>
    <row r="9" spans="1:7" s="751" customFormat="1" ht="27.75" customHeight="1" x14ac:dyDescent="0.2">
      <c r="A9" s="752"/>
      <c r="B9" s="753">
        <v>1113</v>
      </c>
      <c r="C9" s="754" t="s">
        <v>326</v>
      </c>
      <c r="D9" s="755">
        <f>SUM('[1]b) daně'!C12)</f>
        <v>230000</v>
      </c>
      <c r="E9" s="755">
        <f>'[1]b) daně'!D12</f>
        <v>230000</v>
      </c>
      <c r="F9" s="476">
        <f>SUM('[1]b) daně'!J12)</f>
        <v>200000</v>
      </c>
      <c r="G9" s="457">
        <f t="shared" si="0"/>
        <v>86.956521739130437</v>
      </c>
    </row>
    <row r="10" spans="1:7" s="119" customFormat="1" ht="17.25" customHeight="1" x14ac:dyDescent="0.2">
      <c r="A10" s="756"/>
      <c r="B10" s="757">
        <v>1121</v>
      </c>
      <c r="C10" s="406" t="s">
        <v>291</v>
      </c>
      <c r="D10" s="758">
        <f>SUM('[1]b) daně'!C13)</f>
        <v>2000000</v>
      </c>
      <c r="E10" s="758">
        <f>'[1]b) daně'!D13</f>
        <v>2000000</v>
      </c>
      <c r="F10" s="516">
        <f>SUM('[1]b) daně'!J13)</f>
        <v>2000000</v>
      </c>
      <c r="G10" s="759">
        <f t="shared" si="0"/>
        <v>100</v>
      </c>
    </row>
    <row r="11" spans="1:7" s="119" customFormat="1" ht="17.100000000000001" customHeight="1" thickBot="1" x14ac:dyDescent="0.25">
      <c r="A11" s="760"/>
      <c r="B11" s="761">
        <v>1211</v>
      </c>
      <c r="C11" s="762" t="s">
        <v>292</v>
      </c>
      <c r="D11" s="763">
        <f>SUM('[1]b) daně'!C14)</f>
        <v>3700000</v>
      </c>
      <c r="E11" s="763">
        <f>'[1]b) daně'!D14</f>
        <v>3700000</v>
      </c>
      <c r="F11" s="476">
        <f>SUM('[1]b) daně'!J14)</f>
        <v>4000000</v>
      </c>
      <c r="G11" s="460">
        <f t="shared" si="0"/>
        <v>108.10810810810811</v>
      </c>
    </row>
    <row r="12" spans="1:7" s="147" customFormat="1" ht="17.100000000000001" customHeight="1" thickTop="1" thickBot="1" x14ac:dyDescent="0.25">
      <c r="A12" s="467" t="s">
        <v>369</v>
      </c>
      <c r="B12" s="468"/>
      <c r="C12" s="469"/>
      <c r="D12" s="764">
        <f>SUM(D7:D11)</f>
        <v>7100000</v>
      </c>
      <c r="E12" s="764">
        <f>SUM(E7:E11)</f>
        <v>7100000</v>
      </c>
      <c r="F12" s="765">
        <f>SUM(F7:F11)</f>
        <v>7700000</v>
      </c>
      <c r="G12" s="102">
        <f>F12/D12*100</f>
        <v>108.45070422535213</v>
      </c>
    </row>
    <row r="13" spans="1:7" s="119" customFormat="1" ht="17.100000000000001" customHeight="1" thickTop="1" x14ac:dyDescent="0.2">
      <c r="A13" s="756" t="s">
        <v>101</v>
      </c>
      <c r="B13" s="766">
        <v>1361</v>
      </c>
      <c r="C13" s="406" t="s">
        <v>293</v>
      </c>
      <c r="D13" s="767">
        <f>SUM('[1]c) odbory'!D8)</f>
        <v>1330</v>
      </c>
      <c r="E13" s="767">
        <f>SUM('[1]c) odbory'!E8)</f>
        <v>1330</v>
      </c>
      <c r="F13" s="767">
        <f>SUM('[1]c) odbory'!F8)</f>
        <v>1370</v>
      </c>
      <c r="G13" s="477">
        <f t="shared" ref="G13:G21" si="1">F13/D13*100</f>
        <v>103.00751879699249</v>
      </c>
    </row>
    <row r="14" spans="1:7" s="119" customFormat="1" ht="32.25" customHeight="1" x14ac:dyDescent="0.2">
      <c r="A14" s="768">
        <v>6409</v>
      </c>
      <c r="B14" s="445">
        <v>2111</v>
      </c>
      <c r="C14" s="108" t="s">
        <v>294</v>
      </c>
      <c r="D14" s="472">
        <f>SUM('[1]c) odbory'!D9)</f>
        <v>265</v>
      </c>
      <c r="E14" s="472">
        <f>SUM('[1]c) odbory'!E9)</f>
        <v>265</v>
      </c>
      <c r="F14" s="472">
        <f>SUM('[1]c) odbory'!F9)</f>
        <v>265</v>
      </c>
      <c r="G14" s="457">
        <f t="shared" si="1"/>
        <v>100</v>
      </c>
    </row>
    <row r="15" spans="1:7" s="119" customFormat="1" ht="17.100000000000001" customHeight="1" x14ac:dyDescent="0.2">
      <c r="A15" s="769">
        <v>6172</v>
      </c>
      <c r="B15" s="766">
        <v>2119</v>
      </c>
      <c r="C15" s="406" t="s">
        <v>102</v>
      </c>
      <c r="D15" s="767">
        <f>SUM('[1]c) odbory'!D10)</f>
        <v>100</v>
      </c>
      <c r="E15" s="767">
        <f>SUM('[1]c) odbory'!E10)</f>
        <v>100</v>
      </c>
      <c r="F15" s="767">
        <f>SUM('[1]c) odbory'!F10)</f>
        <v>150</v>
      </c>
      <c r="G15" s="457">
        <f t="shared" si="1"/>
        <v>150</v>
      </c>
    </row>
    <row r="16" spans="1:7" s="119" customFormat="1" ht="17.100000000000001" customHeight="1" x14ac:dyDescent="0.2">
      <c r="A16" s="769">
        <v>6172</v>
      </c>
      <c r="B16" s="766">
        <v>2122</v>
      </c>
      <c r="C16" s="109" t="s">
        <v>295</v>
      </c>
      <c r="D16" s="767">
        <f>SUM('[1]c) odbory'!D11)</f>
        <v>246000</v>
      </c>
      <c r="E16" s="767">
        <f>'[1]c) odbory'!E11</f>
        <v>267965</v>
      </c>
      <c r="F16" s="767">
        <f>SUM('[1]c) odbory'!F11)</f>
        <v>256970</v>
      </c>
      <c r="G16" s="457">
        <f t="shared" si="1"/>
        <v>104.45934959349594</v>
      </c>
    </row>
    <row r="17" spans="1:9" s="119" customFormat="1" ht="17.100000000000001" customHeight="1" x14ac:dyDescent="0.2">
      <c r="A17" s="769">
        <v>1032</v>
      </c>
      <c r="B17" s="766">
        <v>2131</v>
      </c>
      <c r="C17" s="109" t="s">
        <v>296</v>
      </c>
      <c r="D17" s="767">
        <f>SUM('[1]c) odbory'!D12)</f>
        <v>25</v>
      </c>
      <c r="E17" s="767">
        <f>SUM('[1]c) odbory'!E12)</f>
        <v>25</v>
      </c>
      <c r="F17" s="767">
        <f>SUM('[1]c) odbory'!F12)</f>
        <v>28</v>
      </c>
      <c r="G17" s="457">
        <f t="shared" si="1"/>
        <v>112.00000000000001</v>
      </c>
      <c r="H17" s="217"/>
    </row>
    <row r="18" spans="1:9" s="119" customFormat="1" ht="17.100000000000001" customHeight="1" x14ac:dyDescent="0.2">
      <c r="A18" s="769">
        <v>6172</v>
      </c>
      <c r="B18" s="766">
        <v>2131</v>
      </c>
      <c r="C18" s="109" t="s">
        <v>296</v>
      </c>
      <c r="D18" s="767">
        <f>SUM('[1]c) odbory'!D13)</f>
        <v>221.3</v>
      </c>
      <c r="E18" s="767">
        <f>SUM('[1]c) odbory'!E13)</f>
        <v>221.3</v>
      </c>
      <c r="F18" s="767">
        <f>SUM('[1]c) odbory'!F13)</f>
        <v>223.3</v>
      </c>
      <c r="G18" s="457">
        <f t="shared" si="1"/>
        <v>100.9037505648441</v>
      </c>
    </row>
    <row r="19" spans="1:9" s="751" customFormat="1" ht="30" customHeight="1" x14ac:dyDescent="0.2">
      <c r="A19" s="768">
        <v>6172</v>
      </c>
      <c r="B19" s="445">
        <v>2132</v>
      </c>
      <c r="C19" s="105" t="s">
        <v>297</v>
      </c>
      <c r="D19" s="472">
        <f>SUM('[1]c) odbory'!D14)</f>
        <v>37853</v>
      </c>
      <c r="E19" s="472">
        <f>SUM('[1]c) odbory'!E14)</f>
        <v>39522</v>
      </c>
      <c r="F19" s="472">
        <f>SUM('[1]c) odbory'!F14)</f>
        <v>39570</v>
      </c>
      <c r="G19" s="457">
        <f t="shared" si="1"/>
        <v>104.53596808707368</v>
      </c>
    </row>
    <row r="20" spans="1:9" s="751" customFormat="1" ht="16.5" customHeight="1" x14ac:dyDescent="0.2">
      <c r="A20" s="768">
        <v>6172</v>
      </c>
      <c r="B20" s="445">
        <v>2133</v>
      </c>
      <c r="C20" s="109" t="s">
        <v>298</v>
      </c>
      <c r="D20" s="767">
        <f>SUM('[1]c) odbory'!D15)</f>
        <v>120</v>
      </c>
      <c r="E20" s="767">
        <f>'[1]c) odbory'!E15</f>
        <v>120</v>
      </c>
      <c r="F20" s="767">
        <f>SUM('[1]c) odbory'!F15)</f>
        <v>120</v>
      </c>
      <c r="G20" s="457">
        <f t="shared" si="1"/>
        <v>100</v>
      </c>
    </row>
    <row r="21" spans="1:9" s="751" customFormat="1" ht="31.5" customHeight="1" x14ac:dyDescent="0.2">
      <c r="A21" s="768">
        <v>6172</v>
      </c>
      <c r="B21" s="445">
        <v>2211</v>
      </c>
      <c r="C21" s="105" t="s">
        <v>299</v>
      </c>
      <c r="D21" s="767">
        <f>SUM('[1]c) odbory'!D16)</f>
        <v>1500</v>
      </c>
      <c r="E21" s="767">
        <f>'[1]c) odbory'!E16</f>
        <v>1500</v>
      </c>
      <c r="F21" s="767">
        <f>SUM('[1]c) odbory'!F16)</f>
        <v>1600</v>
      </c>
      <c r="G21" s="457">
        <f t="shared" si="1"/>
        <v>106.66666666666667</v>
      </c>
    </row>
    <row r="22" spans="1:9" s="751" customFormat="1" ht="16.5" customHeight="1" x14ac:dyDescent="0.2">
      <c r="A22" s="768">
        <v>6172</v>
      </c>
      <c r="B22" s="445">
        <v>2212</v>
      </c>
      <c r="C22" s="109" t="s">
        <v>300</v>
      </c>
      <c r="D22" s="767">
        <f>SUM('[1]c) odbory'!D17)</f>
        <v>2310.2999999999997</v>
      </c>
      <c r="E22" s="767">
        <f>'[1]c) odbory'!E17</f>
        <v>2340.1999999999998</v>
      </c>
      <c r="F22" s="767">
        <f>SUM('[1]c) odbory'!F17)</f>
        <v>2310.2999999999997</v>
      </c>
      <c r="G22" s="457">
        <f>F22/D22*100</f>
        <v>100</v>
      </c>
    </row>
    <row r="23" spans="1:9" s="751" customFormat="1" ht="27" customHeight="1" x14ac:dyDescent="0.2">
      <c r="A23" s="106">
        <v>6172</v>
      </c>
      <c r="B23" s="107">
        <v>2310</v>
      </c>
      <c r="C23" s="108" t="s">
        <v>301</v>
      </c>
      <c r="D23" s="767">
        <f>'[1]c) odbory'!D18</f>
        <v>100</v>
      </c>
      <c r="E23" s="767">
        <f>'[1]c) odbory'!E18</f>
        <v>100</v>
      </c>
      <c r="F23" s="767">
        <f>'[1]c) odbory'!F18</f>
        <v>50</v>
      </c>
      <c r="G23" s="759">
        <f t="shared" ref="G23" si="2">F23/D23*100</f>
        <v>50</v>
      </c>
    </row>
    <row r="24" spans="1:9" s="751" customFormat="1" ht="27" customHeight="1" x14ac:dyDescent="0.25">
      <c r="A24" s="106">
        <v>3636</v>
      </c>
      <c r="B24" s="107">
        <v>2324</v>
      </c>
      <c r="C24" s="770" t="s">
        <v>302</v>
      </c>
      <c r="D24" s="472"/>
      <c r="E24" s="472"/>
      <c r="F24" s="472">
        <f>SUM('[1]c) odbory'!F19)</f>
        <v>181</v>
      </c>
      <c r="G24" s="457"/>
    </row>
    <row r="25" spans="1:9" s="751" customFormat="1" ht="16.5" customHeight="1" x14ac:dyDescent="0.2">
      <c r="A25" s="768">
        <v>6172</v>
      </c>
      <c r="B25" s="445">
        <v>2324</v>
      </c>
      <c r="C25" s="406" t="s">
        <v>302</v>
      </c>
      <c r="D25" s="767">
        <f>SUM('[1]c) odbory'!D20)</f>
        <v>815.30000000000007</v>
      </c>
      <c r="E25" s="767">
        <f>'[1]c) odbory'!E20</f>
        <v>816.2</v>
      </c>
      <c r="F25" s="767">
        <f>SUM('[1]c) odbory'!F20)</f>
        <v>710.30000000000007</v>
      </c>
      <c r="G25" s="457">
        <f>F25/D25*100</f>
        <v>87.121305041089173</v>
      </c>
    </row>
    <row r="26" spans="1:9" s="751" customFormat="1" ht="16.5" customHeight="1" x14ac:dyDescent="0.2">
      <c r="A26" s="103">
        <v>6172</v>
      </c>
      <c r="B26" s="104">
        <v>2329</v>
      </c>
      <c r="C26" s="109" t="s">
        <v>104</v>
      </c>
      <c r="D26" s="473">
        <f>SUM('[1]c) odbory'!D21)</f>
        <v>5</v>
      </c>
      <c r="E26" s="767">
        <f>'[1]c) odbory'!E21</f>
        <v>5</v>
      </c>
      <c r="F26" s="473">
        <f>'[1]c) odbory'!F21</f>
        <v>0</v>
      </c>
      <c r="G26" s="457">
        <f>F26/D26*100</f>
        <v>0</v>
      </c>
    </row>
    <row r="27" spans="1:9" s="119" customFormat="1" ht="32.25" customHeight="1" x14ac:dyDescent="0.2">
      <c r="A27" s="103">
        <v>2119</v>
      </c>
      <c r="B27" s="104">
        <v>2343</v>
      </c>
      <c r="C27" s="105" t="s">
        <v>502</v>
      </c>
      <c r="D27" s="473"/>
      <c r="E27" s="473"/>
      <c r="F27" s="473">
        <f>SUM('[1]c) odbory'!F22)</f>
        <v>500</v>
      </c>
      <c r="G27" s="771"/>
      <c r="I27" s="217"/>
    </row>
    <row r="28" spans="1:9" s="119" customFormat="1" ht="33.75" customHeight="1" x14ac:dyDescent="0.2">
      <c r="A28" s="103"/>
      <c r="B28" s="104">
        <v>2412</v>
      </c>
      <c r="C28" s="105" t="s">
        <v>503</v>
      </c>
      <c r="D28" s="473"/>
      <c r="E28" s="473"/>
      <c r="F28" s="473">
        <f>SUM('[1]c) odbory'!F23)</f>
        <v>333</v>
      </c>
      <c r="G28" s="771"/>
      <c r="I28" s="217"/>
    </row>
    <row r="29" spans="1:9" s="751" customFormat="1" ht="30.75" customHeight="1" x14ac:dyDescent="0.25">
      <c r="A29" s="768"/>
      <c r="B29" s="445">
        <v>2420</v>
      </c>
      <c r="C29" s="772" t="s">
        <v>105</v>
      </c>
      <c r="D29" s="472"/>
      <c r="E29" s="472">
        <f>SUM('[1]c) odbory'!E24)</f>
        <v>5000</v>
      </c>
      <c r="F29" s="472">
        <f>SUM('[1]c) odbory'!F24)</f>
        <v>24223</v>
      </c>
      <c r="G29" s="773"/>
    </row>
    <row r="30" spans="1:9" s="119" customFormat="1" ht="16.5" customHeight="1" x14ac:dyDescent="0.2">
      <c r="A30" s="768">
        <v>6172</v>
      </c>
      <c r="B30" s="445">
        <v>3111</v>
      </c>
      <c r="C30" s="109" t="s">
        <v>303</v>
      </c>
      <c r="D30" s="767">
        <f>SUM('[1]c) odbory'!D25)</f>
        <v>150</v>
      </c>
      <c r="E30" s="472">
        <f>'[1]c) odbory'!E25</f>
        <v>150</v>
      </c>
      <c r="F30" s="767">
        <f>SUM('[1]c) odbory'!F25)</f>
        <v>200</v>
      </c>
      <c r="G30" s="773">
        <f t="shared" ref="G30:G38" si="3">F30/D30*100</f>
        <v>133.33333333333331</v>
      </c>
    </row>
    <row r="31" spans="1:9" s="751" customFormat="1" ht="30" customHeight="1" x14ac:dyDescent="0.2">
      <c r="A31" s="768">
        <v>6172</v>
      </c>
      <c r="B31" s="445">
        <v>3112</v>
      </c>
      <c r="C31" s="108" t="s">
        <v>304</v>
      </c>
      <c r="D31" s="767">
        <f>SUM('[1]c) odbory'!D26)</f>
        <v>7000</v>
      </c>
      <c r="E31" s="767">
        <f>'[1]c) odbory'!E26</f>
        <v>7000</v>
      </c>
      <c r="F31" s="767">
        <f>SUM('[1]c) odbory'!F26)</f>
        <v>4000</v>
      </c>
      <c r="G31" s="759">
        <f t="shared" si="3"/>
        <v>57.142857142857139</v>
      </c>
    </row>
    <row r="32" spans="1:9" s="751" customFormat="1" ht="27.75" customHeight="1" x14ac:dyDescent="0.25">
      <c r="A32" s="106">
        <v>6172</v>
      </c>
      <c r="B32" s="107">
        <v>3113</v>
      </c>
      <c r="C32" s="108" t="s">
        <v>305</v>
      </c>
      <c r="D32" s="472">
        <f>'[1]c) odbory'!D27</f>
        <v>90</v>
      </c>
      <c r="E32" s="472">
        <f>'[1]c) odbory'!E27</f>
        <v>90</v>
      </c>
      <c r="F32" s="472">
        <f>'[1]c) odbory'!F27</f>
        <v>200</v>
      </c>
      <c r="G32" s="457">
        <f t="shared" si="3"/>
        <v>222.22222222222223</v>
      </c>
    </row>
    <row r="33" spans="1:10" s="119" customFormat="1" ht="16.5" customHeight="1" x14ac:dyDescent="0.2">
      <c r="A33" s="768">
        <v>6310</v>
      </c>
      <c r="B33" s="445">
        <v>2141</v>
      </c>
      <c r="C33" s="406" t="s">
        <v>306</v>
      </c>
      <c r="D33" s="767">
        <f>SUM('[1]c) odbory'!D28)</f>
        <v>30164.1</v>
      </c>
      <c r="E33" s="472">
        <f>'[1]c) odbory'!E28</f>
        <v>30164.1</v>
      </c>
      <c r="F33" s="767">
        <f>SUM('[1]c) odbory'!F28)</f>
        <v>46222.400000000001</v>
      </c>
      <c r="G33" s="773">
        <f>F33/D33*100</f>
        <v>153.23646321289215</v>
      </c>
      <c r="I33" s="217"/>
    </row>
    <row r="34" spans="1:10" s="461" customFormat="1" ht="27.75" customHeight="1" x14ac:dyDescent="0.25">
      <c r="A34" s="455"/>
      <c r="B34" s="474">
        <v>4112</v>
      </c>
      <c r="C34" s="475" t="s">
        <v>307</v>
      </c>
      <c r="D34" s="476">
        <v>141578</v>
      </c>
      <c r="E34" s="476">
        <v>141578</v>
      </c>
      <c r="F34" s="476">
        <v>173705.7</v>
      </c>
      <c r="G34" s="477">
        <f t="shared" si="3"/>
        <v>122.6925793555496</v>
      </c>
      <c r="I34" s="478">
        <f>SUM(F13:F33,F35:F37)</f>
        <v>604421.30000000005</v>
      </c>
    </row>
    <row r="35" spans="1:10" s="461" customFormat="1" ht="27.75" customHeight="1" x14ac:dyDescent="0.2">
      <c r="A35" s="455"/>
      <c r="B35" s="474">
        <v>4116</v>
      </c>
      <c r="C35" s="105" t="s">
        <v>504</v>
      </c>
      <c r="D35" s="476"/>
      <c r="E35" s="476">
        <f>SUM('[1]c) odbory'!E29)</f>
        <v>715</v>
      </c>
      <c r="F35" s="476">
        <f>SUM('[1]c) odbory'!F29)</f>
        <v>195</v>
      </c>
      <c r="G35" s="477"/>
      <c r="I35" s="478"/>
    </row>
    <row r="36" spans="1:10" s="461" customFormat="1" ht="20.25" customHeight="1" x14ac:dyDescent="0.2">
      <c r="A36" s="455"/>
      <c r="B36" s="474">
        <v>4121</v>
      </c>
      <c r="C36" s="109" t="s">
        <v>308</v>
      </c>
      <c r="D36" s="476">
        <f>SUM('[1]c) odbory'!D30)</f>
        <v>130000</v>
      </c>
      <c r="E36" s="476">
        <f>SUM('[1]c) odbory'!E30)</f>
        <v>131856</v>
      </c>
      <c r="F36" s="476">
        <f>SUM('[1]c) odbory'!F30)</f>
        <v>123000</v>
      </c>
      <c r="G36" s="477">
        <f t="shared" si="3"/>
        <v>94.615384615384613</v>
      </c>
      <c r="I36" s="478"/>
    </row>
    <row r="37" spans="1:10" s="461" customFormat="1" ht="20.25" customHeight="1" thickBot="1" x14ac:dyDescent="0.25">
      <c r="A37" s="455"/>
      <c r="B37" s="474">
        <v>4122</v>
      </c>
      <c r="C37" s="105" t="s">
        <v>309</v>
      </c>
      <c r="D37" s="476">
        <f>SUM('[1]c) odbory'!D31)</f>
        <v>125000</v>
      </c>
      <c r="E37" s="476">
        <f>SUM('[1]c) odbory'!E31)</f>
        <v>127136</v>
      </c>
      <c r="F37" s="476">
        <f>SUM('[1]c) odbory'!F31)</f>
        <v>102000</v>
      </c>
      <c r="G37" s="477">
        <f t="shared" si="3"/>
        <v>81.599999999999994</v>
      </c>
      <c r="I37" s="478">
        <f>SUM(F36:F37)</f>
        <v>225000</v>
      </c>
    </row>
    <row r="38" spans="1:10" ht="18.75" customHeight="1" thickTop="1" thickBot="1" x14ac:dyDescent="0.3">
      <c r="A38" s="873" t="s">
        <v>106</v>
      </c>
      <c r="B38" s="874"/>
      <c r="C38" s="874"/>
      <c r="D38" s="774">
        <f>SUM(D12:D37)</f>
        <v>7824626.9999999991</v>
      </c>
      <c r="E38" s="774">
        <f>SUM(E12:E37)</f>
        <v>7857998.7999999998</v>
      </c>
      <c r="F38" s="775">
        <f>SUM(F12:F37)</f>
        <v>8478127</v>
      </c>
      <c r="G38" s="479">
        <f t="shared" si="3"/>
        <v>108.35183581274865</v>
      </c>
      <c r="I38" s="742">
        <f>SUM(D36:D37)</f>
        <v>255000</v>
      </c>
      <c r="J38" s="742"/>
    </row>
    <row r="39" spans="1:10" ht="15" thickTop="1" x14ac:dyDescent="0.2">
      <c r="G39" s="776"/>
      <c r="I39" s="777">
        <f>I37/I38*100</f>
        <v>88.235294117647058</v>
      </c>
    </row>
    <row r="40" spans="1:10" ht="16.5" thickBot="1" x14ac:dyDescent="0.3">
      <c r="A40" s="741" t="s">
        <v>107</v>
      </c>
      <c r="G40" s="744" t="s">
        <v>96</v>
      </c>
      <c r="I40" s="777">
        <f>100-I39</f>
        <v>11.764705882352942</v>
      </c>
    </row>
    <row r="41" spans="1:10" s="745" customFormat="1" ht="39.75" thickTop="1" thickBot="1" x14ac:dyDescent="0.3">
      <c r="A41" s="480" t="s">
        <v>97</v>
      </c>
      <c r="B41" s="481" t="s">
        <v>108</v>
      </c>
      <c r="C41" s="482" t="s">
        <v>109</v>
      </c>
      <c r="D41" s="110" t="s">
        <v>371</v>
      </c>
      <c r="E41" s="110" t="s">
        <v>382</v>
      </c>
      <c r="F41" s="110" t="s">
        <v>383</v>
      </c>
      <c r="G41" s="111" t="s">
        <v>2</v>
      </c>
    </row>
    <row r="42" spans="1:10" s="746" customFormat="1" ht="13.5" thickTop="1" thickBot="1" x14ac:dyDescent="0.25">
      <c r="A42" s="480">
        <v>1</v>
      </c>
      <c r="B42" s="482">
        <v>2</v>
      </c>
      <c r="C42" s="482">
        <v>3</v>
      </c>
      <c r="D42" s="325">
        <v>4</v>
      </c>
      <c r="E42" s="325">
        <v>5</v>
      </c>
      <c r="F42" s="325">
        <v>6</v>
      </c>
      <c r="G42" s="326" t="s">
        <v>100</v>
      </c>
    </row>
    <row r="43" spans="1:10" s="751" customFormat="1" ht="15" thickTop="1" x14ac:dyDescent="0.2">
      <c r="A43" s="769">
        <v>6113</v>
      </c>
      <c r="B43" s="766">
        <v>2324</v>
      </c>
      <c r="C43" s="406" t="s">
        <v>302</v>
      </c>
      <c r="D43" s="778">
        <v>1</v>
      </c>
      <c r="E43" s="779">
        <v>1</v>
      </c>
      <c r="F43" s="778">
        <v>1</v>
      </c>
      <c r="G43" s="457">
        <f>F43/D43*100</f>
        <v>100</v>
      </c>
    </row>
    <row r="44" spans="1:10" s="751" customFormat="1" ht="14.25" x14ac:dyDescent="0.2">
      <c r="A44" s="769">
        <v>6172</v>
      </c>
      <c r="B44" s="766">
        <v>2324</v>
      </c>
      <c r="C44" s="406" t="s">
        <v>302</v>
      </c>
      <c r="D44" s="778">
        <v>30</v>
      </c>
      <c r="E44" s="779">
        <v>30</v>
      </c>
      <c r="F44" s="778">
        <v>40</v>
      </c>
      <c r="G44" s="457">
        <f t="shared" ref="G44" si="4">F44/D44*100</f>
        <v>133.33333333333331</v>
      </c>
    </row>
    <row r="45" spans="1:10" s="751" customFormat="1" ht="14.25" x14ac:dyDescent="0.2">
      <c r="A45" s="769">
        <v>6310</v>
      </c>
      <c r="B45" s="766">
        <v>2141</v>
      </c>
      <c r="C45" s="406" t="s">
        <v>306</v>
      </c>
      <c r="D45" s="778">
        <v>150</v>
      </c>
      <c r="E45" s="779">
        <v>150</v>
      </c>
      <c r="F45" s="778">
        <v>500</v>
      </c>
      <c r="G45" s="457">
        <f>F45/D45*100</f>
        <v>333.33333333333337</v>
      </c>
    </row>
    <row r="46" spans="1:10" s="751" customFormat="1" ht="15" thickBot="1" x14ac:dyDescent="0.3">
      <c r="A46" s="780">
        <v>6330</v>
      </c>
      <c r="B46" s="445">
        <v>4134</v>
      </c>
      <c r="C46" s="772" t="s">
        <v>110</v>
      </c>
      <c r="D46" s="778">
        <v>13236</v>
      </c>
      <c r="E46" s="779">
        <v>13405</v>
      </c>
      <c r="F46" s="778">
        <f>15284+13</f>
        <v>15297</v>
      </c>
      <c r="G46" s="457">
        <f>F46/D46*100</f>
        <v>115.57116953762466</v>
      </c>
    </row>
    <row r="47" spans="1:10" s="483" customFormat="1" ht="18.75" customHeight="1" thickTop="1" thickBot="1" x14ac:dyDescent="0.3">
      <c r="A47" s="873" t="s">
        <v>106</v>
      </c>
      <c r="B47" s="874"/>
      <c r="C47" s="874"/>
      <c r="D47" s="774">
        <f>SUM(D43:D46)</f>
        <v>13417</v>
      </c>
      <c r="E47" s="774">
        <f>SUM(E43:E46)</f>
        <v>13586</v>
      </c>
      <c r="F47" s="774">
        <f>SUM(F43:F46)</f>
        <v>15838</v>
      </c>
      <c r="G47" s="479">
        <f>F47/D47*100</f>
        <v>118.04427219199522</v>
      </c>
    </row>
    <row r="48" spans="1:10" ht="15" thickTop="1" x14ac:dyDescent="0.2">
      <c r="G48" s="776"/>
    </row>
    <row r="49" spans="1:7" ht="14.25" hidden="1" x14ac:dyDescent="0.2">
      <c r="G49" s="776"/>
    </row>
    <row r="50" spans="1:7" ht="14.25" hidden="1" x14ac:dyDescent="0.2">
      <c r="G50" s="776"/>
    </row>
    <row r="51" spans="1:7" ht="14.25" hidden="1" x14ac:dyDescent="0.2">
      <c r="G51" s="776"/>
    </row>
    <row r="52" spans="1:7" ht="14.25" hidden="1" x14ac:dyDescent="0.2">
      <c r="G52" s="776"/>
    </row>
    <row r="53" spans="1:7" ht="14.25" hidden="1" x14ac:dyDescent="0.2">
      <c r="G53" s="776"/>
    </row>
    <row r="54" spans="1:7" ht="14.25" hidden="1" x14ac:dyDescent="0.2">
      <c r="G54" s="776"/>
    </row>
    <row r="55" spans="1:7" ht="14.25" hidden="1" x14ac:dyDescent="0.2">
      <c r="G55" s="776"/>
    </row>
    <row r="56" spans="1:7" ht="14.25" hidden="1" x14ac:dyDescent="0.2">
      <c r="G56" s="776"/>
    </row>
    <row r="57" spans="1:7" ht="14.25" hidden="1" x14ac:dyDescent="0.2">
      <c r="G57" s="776"/>
    </row>
    <row r="58" spans="1:7" ht="30" customHeight="1" thickBot="1" x14ac:dyDescent="0.3">
      <c r="A58" s="872" t="s">
        <v>111</v>
      </c>
      <c r="B58" s="872"/>
      <c r="C58" s="872"/>
      <c r="D58" s="872"/>
      <c r="E58" s="872"/>
      <c r="F58" s="872"/>
      <c r="G58" s="744" t="s">
        <v>96</v>
      </c>
    </row>
    <row r="59" spans="1:7" s="745" customFormat="1" ht="39.75" thickTop="1" thickBot="1" x14ac:dyDescent="0.3">
      <c r="A59" s="480" t="s">
        <v>97</v>
      </c>
      <c r="B59" s="481" t="s">
        <v>108</v>
      </c>
      <c r="C59" s="482" t="s">
        <v>109</v>
      </c>
      <c r="D59" s="110" t="s">
        <v>371</v>
      </c>
      <c r="E59" s="110" t="s">
        <v>382</v>
      </c>
      <c r="F59" s="110" t="s">
        <v>383</v>
      </c>
      <c r="G59" s="111" t="s">
        <v>2</v>
      </c>
    </row>
    <row r="60" spans="1:7" s="746" customFormat="1" ht="13.5" thickTop="1" thickBot="1" x14ac:dyDescent="0.25">
      <c r="A60" s="480">
        <v>1</v>
      </c>
      <c r="B60" s="482">
        <v>2</v>
      </c>
      <c r="C60" s="482">
        <v>3</v>
      </c>
      <c r="D60" s="325">
        <v>4</v>
      </c>
      <c r="E60" s="325">
        <v>5</v>
      </c>
      <c r="F60" s="325">
        <v>6</v>
      </c>
      <c r="G60" s="326" t="s">
        <v>100</v>
      </c>
    </row>
    <row r="61" spans="1:7" s="751" customFormat="1" ht="15" thickTop="1" x14ac:dyDescent="0.2">
      <c r="A61" s="781"/>
      <c r="B61" s="782">
        <v>1332</v>
      </c>
      <c r="C61" s="783" t="s">
        <v>112</v>
      </c>
      <c r="D61" s="784">
        <v>4000</v>
      </c>
      <c r="E61" s="785">
        <v>4000</v>
      </c>
      <c r="F61" s="784">
        <v>3000</v>
      </c>
      <c r="G61" s="580">
        <f>F61/D61*100</f>
        <v>75</v>
      </c>
    </row>
    <row r="62" spans="1:7" s="751" customFormat="1" ht="14.25" x14ac:dyDescent="0.2">
      <c r="A62" s="769"/>
      <c r="B62" s="766">
        <v>1357</v>
      </c>
      <c r="C62" s="406" t="s">
        <v>113</v>
      </c>
      <c r="D62" s="778">
        <v>30000</v>
      </c>
      <c r="E62" s="779">
        <v>30000</v>
      </c>
      <c r="F62" s="778">
        <v>26900</v>
      </c>
      <c r="G62" s="457">
        <f t="shared" ref="G62:G63" si="5">F62/D62*100</f>
        <v>89.666666666666657</v>
      </c>
    </row>
    <row r="63" spans="1:7" s="751" customFormat="1" ht="15" thickBot="1" x14ac:dyDescent="0.25">
      <c r="A63" s="769">
        <v>6172</v>
      </c>
      <c r="B63" s="766">
        <v>2212</v>
      </c>
      <c r="C63" s="406" t="s">
        <v>103</v>
      </c>
      <c r="D63" s="778">
        <v>300</v>
      </c>
      <c r="E63" s="779">
        <v>300</v>
      </c>
      <c r="F63" s="466">
        <v>100</v>
      </c>
      <c r="G63" s="457">
        <f t="shared" si="5"/>
        <v>33.333333333333329</v>
      </c>
    </row>
    <row r="64" spans="1:7" s="751" customFormat="1" ht="15" hidden="1" thickBot="1" x14ac:dyDescent="0.3">
      <c r="A64" s="786">
        <v>2399</v>
      </c>
      <c r="B64" s="445">
        <v>2342</v>
      </c>
      <c r="C64" s="772" t="s">
        <v>505</v>
      </c>
      <c r="D64" s="778"/>
      <c r="E64" s="779"/>
      <c r="F64" s="778">
        <v>0</v>
      </c>
      <c r="G64" s="460" t="e">
        <f>F64/D64*100</f>
        <v>#DIV/0!</v>
      </c>
    </row>
    <row r="65" spans="1:10" s="483" customFormat="1" ht="18.75" customHeight="1" thickTop="1" thickBot="1" x14ac:dyDescent="0.3">
      <c r="A65" s="873" t="s">
        <v>106</v>
      </c>
      <c r="B65" s="874"/>
      <c r="C65" s="874"/>
      <c r="D65" s="774">
        <f>SUM(D61:D64)</f>
        <v>34300</v>
      </c>
      <c r="E65" s="774">
        <f t="shared" ref="E65:F65" si="6">SUM(E61:E64)</f>
        <v>34300</v>
      </c>
      <c r="F65" s="774">
        <f t="shared" si="6"/>
        <v>30000</v>
      </c>
      <c r="G65" s="479">
        <f>F65/D65*100</f>
        <v>87.463556851311949</v>
      </c>
      <c r="J65" s="787"/>
    </row>
    <row r="66" spans="1:10" ht="15" thickTop="1" x14ac:dyDescent="0.2">
      <c r="G66" s="788"/>
      <c r="J66" s="452"/>
    </row>
    <row r="67" spans="1:10" s="483" customFormat="1" ht="27.75" customHeight="1" thickBot="1" x14ac:dyDescent="0.3">
      <c r="A67" s="485" t="s">
        <v>14</v>
      </c>
      <c r="B67" s="485"/>
      <c r="C67" s="485"/>
      <c r="D67" s="486">
        <f>SUM(D65,D47,D38)</f>
        <v>7872343.9999999991</v>
      </c>
      <c r="E67" s="486">
        <f>SUM(E65,E47,E38)</f>
        <v>7905884.7999999998</v>
      </c>
      <c r="F67" s="486">
        <f>SUM(F65,F47,F38)</f>
        <v>8523965</v>
      </c>
      <c r="G67" s="789">
        <f>F67/D67*100</f>
        <v>108.27734407947622</v>
      </c>
    </row>
    <row r="68" spans="1:10" ht="14.25" customHeight="1" thickTop="1" x14ac:dyDescent="0.2">
      <c r="D68" s="452"/>
      <c r="E68" s="452"/>
      <c r="F68" s="790"/>
      <c r="G68" s="776"/>
    </row>
    <row r="69" spans="1:10" ht="14.25" customHeight="1" x14ac:dyDescent="0.2">
      <c r="D69" s="452"/>
      <c r="E69" s="452"/>
      <c r="F69" s="790"/>
      <c r="G69" s="776"/>
    </row>
    <row r="70" spans="1:10" ht="30" customHeight="1" thickBot="1" x14ac:dyDescent="0.3">
      <c r="A70" s="872" t="s">
        <v>506</v>
      </c>
      <c r="B70" s="872"/>
      <c r="C70" s="872"/>
      <c r="D70" s="872"/>
      <c r="E70" s="872"/>
      <c r="F70" s="872"/>
      <c r="G70" s="744" t="s">
        <v>96</v>
      </c>
    </row>
    <row r="71" spans="1:10" s="745" customFormat="1" ht="39.75" thickTop="1" thickBot="1" x14ac:dyDescent="0.3">
      <c r="A71" s="480" t="s">
        <v>507</v>
      </c>
      <c r="B71" s="481" t="s">
        <v>108</v>
      </c>
      <c r="C71" s="482" t="s">
        <v>109</v>
      </c>
      <c r="D71" s="110" t="s">
        <v>371</v>
      </c>
      <c r="E71" s="110" t="s">
        <v>382</v>
      </c>
      <c r="F71" s="110" t="s">
        <v>383</v>
      </c>
      <c r="G71" s="111" t="s">
        <v>2</v>
      </c>
    </row>
    <row r="72" spans="1:10" s="746" customFormat="1" ht="13.5" thickTop="1" thickBot="1" x14ac:dyDescent="0.25">
      <c r="A72" s="480">
        <v>1</v>
      </c>
      <c r="B72" s="482">
        <v>2</v>
      </c>
      <c r="C72" s="482">
        <v>3</v>
      </c>
      <c r="D72" s="325">
        <v>4</v>
      </c>
      <c r="E72" s="325">
        <v>5</v>
      </c>
      <c r="F72" s="325">
        <v>6</v>
      </c>
      <c r="G72" s="326" t="s">
        <v>100</v>
      </c>
    </row>
    <row r="73" spans="1:10" s="751" customFormat="1" ht="29.25" thickTop="1" x14ac:dyDescent="0.2">
      <c r="A73" s="791">
        <v>27355</v>
      </c>
      <c r="B73" s="782">
        <v>4116</v>
      </c>
      <c r="C73" s="749" t="s">
        <v>504</v>
      </c>
      <c r="D73" s="784"/>
      <c r="E73" s="785">
        <v>260007</v>
      </c>
      <c r="F73" s="792">
        <v>287000</v>
      </c>
      <c r="G73" s="580"/>
    </row>
    <row r="74" spans="1:10" s="751" customFormat="1" ht="28.5" x14ac:dyDescent="0.2">
      <c r="A74" s="793">
        <v>13307</v>
      </c>
      <c r="B74" s="766">
        <v>4116</v>
      </c>
      <c r="C74" s="754" t="s">
        <v>504</v>
      </c>
      <c r="D74" s="778"/>
      <c r="E74" s="779">
        <v>18500</v>
      </c>
      <c r="F74" s="466">
        <v>14000</v>
      </c>
      <c r="G74" s="457"/>
    </row>
    <row r="75" spans="1:10" s="751" customFormat="1" ht="28.5" x14ac:dyDescent="0.2">
      <c r="A75" s="793">
        <v>13305</v>
      </c>
      <c r="B75" s="766">
        <v>4116</v>
      </c>
      <c r="C75" s="754" t="s">
        <v>504</v>
      </c>
      <c r="D75" s="778"/>
      <c r="E75" s="779">
        <v>1944690</v>
      </c>
      <c r="F75" s="466">
        <v>1944690</v>
      </c>
      <c r="G75" s="457"/>
    </row>
    <row r="76" spans="1:10" s="751" customFormat="1" ht="28.5" x14ac:dyDescent="0.2">
      <c r="A76" s="793">
        <v>13015</v>
      </c>
      <c r="B76" s="766">
        <v>4116</v>
      </c>
      <c r="C76" s="754" t="s">
        <v>504</v>
      </c>
      <c r="D76" s="778"/>
      <c r="E76" s="779">
        <f>SUM('[16]02'!$G$8)</f>
        <v>919</v>
      </c>
      <c r="F76" s="466">
        <v>920</v>
      </c>
      <c r="G76" s="457"/>
    </row>
    <row r="77" spans="1:10" s="751" customFormat="1" ht="28.5" x14ac:dyDescent="0.2">
      <c r="A77" s="794">
        <v>33155</v>
      </c>
      <c r="B77" s="766">
        <v>4116</v>
      </c>
      <c r="C77" s="754" t="s">
        <v>504</v>
      </c>
      <c r="D77" s="778"/>
      <c r="E77" s="779">
        <v>570500</v>
      </c>
      <c r="F77" s="466">
        <v>875027</v>
      </c>
      <c r="G77" s="457"/>
    </row>
    <row r="78" spans="1:10" s="751" customFormat="1" ht="28.5" x14ac:dyDescent="0.2">
      <c r="A78" s="794">
        <v>33353</v>
      </c>
      <c r="B78" s="766">
        <v>4116</v>
      </c>
      <c r="C78" s="754" t="s">
        <v>504</v>
      </c>
      <c r="D78" s="778"/>
      <c r="E78" s="779">
        <v>11756330</v>
      </c>
      <c r="F78" s="466">
        <v>11881033</v>
      </c>
      <c r="G78" s="457"/>
    </row>
    <row r="79" spans="1:10" s="751" customFormat="1" ht="29.25" thickBot="1" x14ac:dyDescent="0.25">
      <c r="A79" s="794">
        <v>98071</v>
      </c>
      <c r="B79" s="766">
        <v>4116</v>
      </c>
      <c r="C79" s="754" t="s">
        <v>504</v>
      </c>
      <c r="D79" s="778"/>
      <c r="E79" s="779">
        <v>0</v>
      </c>
      <c r="F79" s="466">
        <v>1000</v>
      </c>
      <c r="G79" s="457"/>
    </row>
    <row r="80" spans="1:10" s="751" customFormat="1" ht="15" hidden="1" thickBot="1" x14ac:dyDescent="0.3">
      <c r="A80" s="786">
        <v>2399</v>
      </c>
      <c r="B80" s="445">
        <v>2342</v>
      </c>
      <c r="C80" s="772" t="s">
        <v>505</v>
      </c>
      <c r="D80" s="778"/>
      <c r="E80" s="779"/>
      <c r="F80" s="778">
        <v>0</v>
      </c>
      <c r="G80" s="460" t="e">
        <f>F80/D80*100</f>
        <v>#DIV/0!</v>
      </c>
    </row>
    <row r="81" spans="1:10" s="483" customFormat="1" ht="18.75" customHeight="1" thickTop="1" thickBot="1" x14ac:dyDescent="0.3">
      <c r="A81" s="873" t="s">
        <v>106</v>
      </c>
      <c r="B81" s="874"/>
      <c r="C81" s="874"/>
      <c r="D81" s="774">
        <f>SUM(D73:D80)</f>
        <v>0</v>
      </c>
      <c r="E81" s="774">
        <f>SUM(E73:E80)</f>
        <v>14550946</v>
      </c>
      <c r="F81" s="774">
        <f>SUM(F73:F80)</f>
        <v>15003670</v>
      </c>
      <c r="G81" s="479"/>
      <c r="J81" s="787"/>
    </row>
    <row r="82" spans="1:10" ht="14.25" customHeight="1" thickTop="1" x14ac:dyDescent="0.2">
      <c r="D82" s="452"/>
      <c r="E82" s="452"/>
      <c r="F82" s="790"/>
      <c r="G82" s="776"/>
    </row>
    <row r="83" spans="1:10" ht="14.25" customHeight="1" x14ac:dyDescent="0.2">
      <c r="D83" s="452"/>
      <c r="E83" s="452"/>
      <c r="F83" s="790"/>
      <c r="G83" s="776"/>
    </row>
    <row r="84" spans="1:10" ht="14.25" customHeight="1" x14ac:dyDescent="0.2">
      <c r="D84" s="452"/>
      <c r="E84" s="452"/>
      <c r="F84" s="790"/>
      <c r="G84" s="776"/>
    </row>
    <row r="85" spans="1:10" ht="14.25" x14ac:dyDescent="0.2">
      <c r="A85" s="795" t="s">
        <v>114</v>
      </c>
      <c r="D85" s="452"/>
      <c r="E85" s="452"/>
      <c r="F85" s="790"/>
      <c r="G85" s="776"/>
    </row>
    <row r="86" spans="1:10" ht="15.75" x14ac:dyDescent="0.25">
      <c r="A86" s="796" t="s">
        <v>14</v>
      </c>
      <c r="B86" s="796"/>
      <c r="C86" s="796"/>
      <c r="D86" s="797">
        <f>SUM(D67)</f>
        <v>7872343.9999999991</v>
      </c>
      <c r="E86" s="797">
        <f>SUM(E67,E81)</f>
        <v>22456830.800000001</v>
      </c>
      <c r="F86" s="797">
        <f>SUM(F67,F81)</f>
        <v>23527635</v>
      </c>
      <c r="G86" s="798">
        <f>F86/D86*100</f>
        <v>298.86441700210258</v>
      </c>
    </row>
    <row r="87" spans="1:10" ht="14.25" x14ac:dyDescent="0.2">
      <c r="A87" s="119" t="s">
        <v>15</v>
      </c>
      <c r="B87" s="119"/>
      <c r="C87" s="119"/>
      <c r="D87" s="217">
        <f>-D46</f>
        <v>-13236</v>
      </c>
      <c r="E87" s="217">
        <f>-E46</f>
        <v>-13405</v>
      </c>
      <c r="F87" s="217">
        <f>-F46</f>
        <v>-15297</v>
      </c>
      <c r="G87" s="799">
        <f>F87/D87*100</f>
        <v>115.57116953762466</v>
      </c>
    </row>
    <row r="88" spans="1:10" s="800" customFormat="1" ht="17.25" thickBot="1" x14ac:dyDescent="0.3">
      <c r="A88" s="875" t="s">
        <v>115</v>
      </c>
      <c r="B88" s="875"/>
      <c r="C88" s="875"/>
      <c r="D88" s="487">
        <f>D86+D87</f>
        <v>7859107.9999999991</v>
      </c>
      <c r="E88" s="487">
        <f>E86+E87</f>
        <v>22443425.800000001</v>
      </c>
      <c r="F88" s="487">
        <f>F86+F87</f>
        <v>23512338</v>
      </c>
      <c r="G88" s="488">
        <f>F88/D88*100</f>
        <v>299.17311226668477</v>
      </c>
    </row>
    <row r="89" spans="1:10" ht="14.25" customHeight="1" thickTop="1" x14ac:dyDescent="0.2">
      <c r="A89" s="876" t="s">
        <v>116</v>
      </c>
      <c r="B89" s="876"/>
      <c r="C89" s="876"/>
      <c r="D89" s="876"/>
      <c r="E89" s="876"/>
      <c r="F89" s="876"/>
      <c r="G89" s="876"/>
    </row>
    <row r="90" spans="1:10" ht="14.25" hidden="1" customHeight="1" x14ac:dyDescent="0.2">
      <c r="G90" s="776"/>
    </row>
    <row r="91" spans="1:10" ht="14.25" hidden="1" customHeight="1" x14ac:dyDescent="0.2">
      <c r="G91" s="776"/>
    </row>
    <row r="92" spans="1:10" ht="12.75" customHeight="1" x14ac:dyDescent="0.2">
      <c r="A92" s="877" t="s">
        <v>117</v>
      </c>
      <c r="B92" s="877"/>
      <c r="C92" s="877"/>
      <c r="D92" s="877"/>
      <c r="E92" s="877"/>
      <c r="F92" s="877"/>
      <c r="G92" s="877"/>
      <c r="H92" s="801"/>
    </row>
    <row r="93" spans="1:10" x14ac:dyDescent="0.2">
      <c r="A93" s="877"/>
      <c r="B93" s="877"/>
      <c r="C93" s="877"/>
      <c r="D93" s="877"/>
      <c r="E93" s="877"/>
      <c r="F93" s="877"/>
      <c r="G93" s="877"/>
      <c r="H93" s="801"/>
    </row>
    <row r="94" spans="1:10" x14ac:dyDescent="0.2">
      <c r="H94" s="801"/>
    </row>
    <row r="95" spans="1:10" x14ac:dyDescent="0.2">
      <c r="F95" s="742"/>
      <c r="H95" s="801"/>
    </row>
    <row r="96" spans="1:10" x14ac:dyDescent="0.2">
      <c r="F96" s="742"/>
    </row>
  </sheetData>
  <mergeCells count="10">
    <mergeCell ref="A1:F1"/>
    <mergeCell ref="A38:C38"/>
    <mergeCell ref="A47:C47"/>
    <mergeCell ref="A58:F58"/>
    <mergeCell ref="A65:C65"/>
    <mergeCell ref="A70:F70"/>
    <mergeCell ref="A81:C81"/>
    <mergeCell ref="A88:C88"/>
    <mergeCell ref="A89:G89"/>
    <mergeCell ref="A92:G9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8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  <rowBreaks count="1" manualBreakCount="1">
    <brk id="5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FF"/>
  </sheetPr>
  <dimension ref="A1:N183"/>
  <sheetViews>
    <sheetView showGridLines="0" view="pageBreakPreview" topLeftCell="A3" zoomScaleNormal="100" zoomScaleSheetLayoutView="100" workbookViewId="0">
      <selection activeCell="H9" sqref="H9:H27"/>
    </sheetView>
  </sheetViews>
  <sheetFormatPr defaultColWidth="9.140625" defaultRowHeight="12.75" x14ac:dyDescent="0.2"/>
  <cols>
    <col min="1" max="1" width="9.140625" style="422"/>
    <col min="2" max="2" width="42.42578125" style="422" customWidth="1"/>
    <col min="3" max="3" width="4.28515625" style="422" customWidth="1"/>
    <col min="4" max="5" width="15.7109375" style="422" hidden="1" customWidth="1"/>
    <col min="6" max="6" width="18.42578125" style="422" customWidth="1"/>
    <col min="7" max="7" width="18.140625" style="422" bestFit="1" customWidth="1"/>
    <col min="8" max="8" width="18.42578125" style="422" customWidth="1"/>
    <col min="9" max="9" width="9" style="434" customWidth="1"/>
    <col min="10" max="10" width="3.140625" style="422" customWidth="1"/>
    <col min="11" max="13" width="10.140625" style="422" customWidth="1"/>
    <col min="14" max="14" width="10" style="422" bestFit="1" customWidth="1"/>
    <col min="15" max="16384" width="9.140625" style="422"/>
  </cols>
  <sheetData>
    <row r="1" spans="1:14" ht="20.25" x14ac:dyDescent="0.3">
      <c r="A1" s="602" t="s">
        <v>385</v>
      </c>
      <c r="B1" s="462"/>
      <c r="C1" s="462"/>
      <c r="D1" s="462"/>
      <c r="E1" s="462"/>
      <c r="F1" s="462"/>
      <c r="G1" s="462"/>
      <c r="H1" s="462"/>
      <c r="I1" s="582"/>
    </row>
    <row r="2" spans="1:14" ht="15.75" x14ac:dyDescent="0.25">
      <c r="A2" s="300"/>
      <c r="B2" s="462"/>
      <c r="C2" s="462"/>
      <c r="D2" s="462"/>
      <c r="E2" s="462"/>
      <c r="F2" s="462"/>
      <c r="G2" s="462"/>
      <c r="H2" s="462"/>
      <c r="I2" s="582"/>
    </row>
    <row r="3" spans="1:14" ht="15.75" x14ac:dyDescent="0.25">
      <c r="A3" s="300" t="s">
        <v>281</v>
      </c>
      <c r="B3" s="462"/>
      <c r="C3" s="462"/>
      <c r="D3" s="462"/>
      <c r="E3" s="462"/>
      <c r="F3" s="462"/>
      <c r="G3" s="462"/>
      <c r="H3" s="462"/>
      <c r="I3" s="582"/>
    </row>
    <row r="4" spans="1:14" ht="13.5" thickBot="1" x14ac:dyDescent="0.25">
      <c r="A4" s="462"/>
      <c r="B4" s="462"/>
      <c r="C4" s="462"/>
      <c r="D4" s="603"/>
      <c r="E4" s="603"/>
      <c r="F4" s="603"/>
      <c r="G4" s="603"/>
      <c r="H4" s="603"/>
      <c r="I4" s="604" t="s">
        <v>96</v>
      </c>
    </row>
    <row r="5" spans="1:14" ht="39" customHeight="1" thickTop="1" thickBot="1" x14ac:dyDescent="0.25">
      <c r="A5" s="884" t="s">
        <v>118</v>
      </c>
      <c r="B5" s="885"/>
      <c r="C5" s="605" t="s">
        <v>119</v>
      </c>
      <c r="D5" s="110" t="s">
        <v>74</v>
      </c>
      <c r="E5" s="110" t="s">
        <v>75</v>
      </c>
      <c r="F5" s="110" t="s">
        <v>371</v>
      </c>
      <c r="G5" s="110" t="s">
        <v>382</v>
      </c>
      <c r="H5" s="110" t="s">
        <v>383</v>
      </c>
      <c r="I5" s="111" t="s">
        <v>2</v>
      </c>
    </row>
    <row r="6" spans="1:14" ht="14.25" thickTop="1" thickBot="1" x14ac:dyDescent="0.25">
      <c r="A6" s="886">
        <v>1</v>
      </c>
      <c r="B6" s="887"/>
      <c r="C6" s="606">
        <v>2</v>
      </c>
      <c r="D6" s="607" t="s">
        <v>120</v>
      </c>
      <c r="E6" s="607" t="s">
        <v>121</v>
      </c>
      <c r="F6" s="607">
        <v>3</v>
      </c>
      <c r="G6" s="607">
        <v>4</v>
      </c>
      <c r="H6" s="607">
        <v>5</v>
      </c>
      <c r="I6" s="608" t="s">
        <v>122</v>
      </c>
    </row>
    <row r="7" spans="1:14" s="612" customFormat="1" ht="18" customHeight="1" thickTop="1" x14ac:dyDescent="0.25">
      <c r="A7" s="888" t="s">
        <v>24</v>
      </c>
      <c r="B7" s="889"/>
      <c r="C7" s="609">
        <v>1</v>
      </c>
      <c r="D7" s="610">
        <v>25921</v>
      </c>
      <c r="E7" s="610">
        <v>28085</v>
      </c>
      <c r="F7" s="610">
        <f>SUM('[4]01'!E15)</f>
        <v>48558</v>
      </c>
      <c r="G7" s="610">
        <f>SUM('[4]01'!F15)</f>
        <v>48558</v>
      </c>
      <c r="H7" s="610">
        <f>SUM('[4]01'!G15)</f>
        <v>49107</v>
      </c>
      <c r="I7" s="611">
        <f t="shared" ref="I7:I19" si="0">H7/F7*100</f>
        <v>101.13060669714568</v>
      </c>
    </row>
    <row r="8" spans="1:14" s="612" customFormat="1" ht="18" customHeight="1" x14ac:dyDescent="0.25">
      <c r="A8" s="890" t="s">
        <v>231</v>
      </c>
      <c r="B8" s="891"/>
      <c r="C8" s="389">
        <v>2</v>
      </c>
      <c r="D8" s="390">
        <v>37794</v>
      </c>
      <c r="E8" s="390">
        <f>24167+14</f>
        <v>24181</v>
      </c>
      <c r="F8" s="390">
        <f>SUM('[4]02'!E12)</f>
        <v>430315</v>
      </c>
      <c r="G8" s="390">
        <f>SUM('[4]02'!F12)</f>
        <v>443679</v>
      </c>
      <c r="H8" s="390">
        <f>SUM('[4]02'!G12)</f>
        <v>490552</v>
      </c>
      <c r="I8" s="613">
        <f t="shared" si="0"/>
        <v>113.9983500458966</v>
      </c>
    </row>
    <row r="9" spans="1:14" s="612" customFormat="1" ht="18" customHeight="1" x14ac:dyDescent="0.25">
      <c r="A9" s="882" t="s">
        <v>47</v>
      </c>
      <c r="B9" s="883"/>
      <c r="C9" s="389">
        <v>3</v>
      </c>
      <c r="D9" s="390">
        <v>305370</v>
      </c>
      <c r="E9" s="390">
        <v>315147</v>
      </c>
      <c r="F9" s="390">
        <f>SUM('[4]03'!E14)</f>
        <v>126807</v>
      </c>
      <c r="G9" s="390">
        <f>SUM('[4]03'!F14)</f>
        <v>126652</v>
      </c>
      <c r="H9" s="390">
        <f>SUM('[4]03'!G14)</f>
        <v>129341</v>
      </c>
      <c r="I9" s="613">
        <f t="shared" si="0"/>
        <v>101.99831239600337</v>
      </c>
      <c r="N9" s="614"/>
    </row>
    <row r="10" spans="1:14" s="612" customFormat="1" ht="18" customHeight="1" x14ac:dyDescent="0.25">
      <c r="A10" s="890" t="s">
        <v>123</v>
      </c>
      <c r="B10" s="891"/>
      <c r="C10" s="389">
        <v>4</v>
      </c>
      <c r="D10" s="390">
        <v>37794</v>
      </c>
      <c r="E10" s="390">
        <f>24167+14</f>
        <v>24181</v>
      </c>
      <c r="F10" s="390">
        <f>SUM('[4]04'!E12)</f>
        <v>51540</v>
      </c>
      <c r="G10" s="390">
        <f>SUM('[4]04'!F12)</f>
        <v>51629</v>
      </c>
      <c r="H10" s="390">
        <f>SUM('[4]04'!G12)</f>
        <v>57017</v>
      </c>
      <c r="I10" s="613">
        <f t="shared" si="0"/>
        <v>110.6266977105161</v>
      </c>
    </row>
    <row r="11" spans="1:14" s="615" customFormat="1" ht="18" customHeight="1" x14ac:dyDescent="0.25">
      <c r="A11" s="890" t="s">
        <v>124</v>
      </c>
      <c r="B11" s="891"/>
      <c r="C11" s="389">
        <v>6</v>
      </c>
      <c r="D11" s="390">
        <v>24589</v>
      </c>
      <c r="E11" s="390">
        <v>28131</v>
      </c>
      <c r="F11" s="390">
        <f>SUM('[4]06'!E11)</f>
        <v>45111</v>
      </c>
      <c r="G11" s="390">
        <f>SUM('[4]06'!F11)</f>
        <v>51352</v>
      </c>
      <c r="H11" s="390">
        <f>SUM('[4]06'!G11)</f>
        <v>52428</v>
      </c>
      <c r="I11" s="613">
        <f t="shared" si="0"/>
        <v>116.21999068963224</v>
      </c>
      <c r="J11" s="112"/>
      <c r="K11" s="612"/>
      <c r="L11" s="612"/>
    </row>
    <row r="12" spans="1:14" s="612" customFormat="1" ht="18" customHeight="1" x14ac:dyDescent="0.25">
      <c r="A12" s="882" t="s">
        <v>125</v>
      </c>
      <c r="B12" s="883"/>
      <c r="C12" s="389">
        <v>7</v>
      </c>
      <c r="D12" s="390">
        <v>46380</v>
      </c>
      <c r="E12" s="390">
        <v>45038</v>
      </c>
      <c r="F12" s="390">
        <f>SUM('[4]07'!E12)</f>
        <v>252715</v>
      </c>
      <c r="G12" s="390">
        <f>SUM('[4]07'!F12)</f>
        <v>242983</v>
      </c>
      <c r="H12" s="390">
        <f>SUM('[4]07'!G12)</f>
        <v>143836</v>
      </c>
      <c r="I12" s="613">
        <f t="shared" si="0"/>
        <v>56.91628910036998</v>
      </c>
      <c r="J12" s="112"/>
    </row>
    <row r="13" spans="1:14" s="549" customFormat="1" ht="18" customHeight="1" x14ac:dyDescent="0.25">
      <c r="A13" s="892" t="s">
        <v>51</v>
      </c>
      <c r="B13" s="893"/>
      <c r="C13" s="389">
        <v>8</v>
      </c>
      <c r="D13" s="390">
        <v>7505</v>
      </c>
      <c r="E13" s="390">
        <v>9297</v>
      </c>
      <c r="F13" s="390">
        <f>SUM('[4]08'!E16)</f>
        <v>37442</v>
      </c>
      <c r="G13" s="390">
        <f>SUM('[4]08'!F16)</f>
        <v>39702</v>
      </c>
      <c r="H13" s="390">
        <f>SUM('[4]08'!G16)</f>
        <v>46637</v>
      </c>
      <c r="I13" s="613">
        <f t="shared" si="0"/>
        <v>124.55798301372789</v>
      </c>
    </row>
    <row r="14" spans="1:14" s="612" customFormat="1" ht="18" customHeight="1" x14ac:dyDescent="0.25">
      <c r="A14" s="882" t="s">
        <v>126</v>
      </c>
      <c r="B14" s="883"/>
      <c r="C14" s="389">
        <v>9</v>
      </c>
      <c r="D14" s="390">
        <v>4793</v>
      </c>
      <c r="E14" s="390">
        <v>5130</v>
      </c>
      <c r="F14" s="390">
        <f>SUM('[4]09'!E23)</f>
        <v>8640</v>
      </c>
      <c r="G14" s="390">
        <f>SUM('[4]09'!F23)</f>
        <v>56940</v>
      </c>
      <c r="H14" s="390">
        <f>SUM('[4]09'!G23)</f>
        <v>305265</v>
      </c>
      <c r="I14" s="613">
        <f t="shared" si="0"/>
        <v>3533.1597222222222</v>
      </c>
      <c r="J14" s="112"/>
      <c r="K14" s="112"/>
      <c r="N14" s="614"/>
    </row>
    <row r="15" spans="1:14" s="612" customFormat="1" ht="18" customHeight="1" x14ac:dyDescent="0.25">
      <c r="A15" s="882" t="s">
        <v>78</v>
      </c>
      <c r="B15" s="883"/>
      <c r="C15" s="391">
        <v>10</v>
      </c>
      <c r="D15" s="390">
        <v>14184</v>
      </c>
      <c r="E15" s="390">
        <f>10107+870</f>
        <v>10977</v>
      </c>
      <c r="F15" s="390">
        <f>SUM('[4]10'!E16)</f>
        <v>12558</v>
      </c>
      <c r="G15" s="390">
        <f>SUM('[4]10'!F16)</f>
        <v>13214</v>
      </c>
      <c r="H15" s="390">
        <f>SUM('[4]10'!G16)</f>
        <v>14437</v>
      </c>
      <c r="I15" s="613">
        <f t="shared" si="0"/>
        <v>114.96257365822584</v>
      </c>
    </row>
    <row r="16" spans="1:14" s="612" customFormat="1" ht="18" customHeight="1" x14ac:dyDescent="0.25">
      <c r="A16" s="882" t="s">
        <v>127</v>
      </c>
      <c r="B16" s="883"/>
      <c r="C16" s="391">
        <v>11</v>
      </c>
      <c r="D16" s="390">
        <v>5245</v>
      </c>
      <c r="E16" s="390">
        <v>1330</v>
      </c>
      <c r="F16" s="390">
        <f>SUM('[4]11'!E15)</f>
        <v>4416</v>
      </c>
      <c r="G16" s="390">
        <f>SUM('[4]11'!F15)</f>
        <v>5746</v>
      </c>
      <c r="H16" s="390">
        <f>SUM('[4]11'!G15)</f>
        <v>4345</v>
      </c>
      <c r="I16" s="613">
        <f t="shared" si="0"/>
        <v>98.392210144927532</v>
      </c>
      <c r="J16" s="112"/>
      <c r="K16" s="112"/>
      <c r="N16" s="614"/>
    </row>
    <row r="17" spans="1:14" s="612" customFormat="1" ht="18" customHeight="1" x14ac:dyDescent="0.25">
      <c r="A17" s="880" t="s">
        <v>128</v>
      </c>
      <c r="B17" s="881"/>
      <c r="C17" s="391">
        <v>12</v>
      </c>
      <c r="D17" s="390">
        <v>835</v>
      </c>
      <c r="E17" s="390">
        <v>3238</v>
      </c>
      <c r="F17" s="390">
        <f>SUM('[4]12'!E13)</f>
        <v>870</v>
      </c>
      <c r="G17" s="390">
        <f>SUM('[4]12'!F13)</f>
        <v>870</v>
      </c>
      <c r="H17" s="390">
        <f>SUM('[4]12'!G13)</f>
        <v>860</v>
      </c>
      <c r="I17" s="613">
        <f t="shared" si="0"/>
        <v>98.850574712643677</v>
      </c>
      <c r="J17" s="113"/>
      <c r="K17" s="614"/>
      <c r="L17" s="614"/>
      <c r="M17" s="614"/>
      <c r="N17" s="614"/>
    </row>
    <row r="18" spans="1:14" s="615" customFormat="1" ht="18" customHeight="1" x14ac:dyDescent="0.25">
      <c r="A18" s="880" t="s">
        <v>79</v>
      </c>
      <c r="B18" s="896"/>
      <c r="C18" s="391">
        <v>13</v>
      </c>
      <c r="D18" s="390">
        <v>9093</v>
      </c>
      <c r="E18" s="390">
        <v>1</v>
      </c>
      <c r="F18" s="390">
        <f>SUM('[4]13'!E15)</f>
        <v>34740</v>
      </c>
      <c r="G18" s="390">
        <f>SUM('[4]13'!F15)</f>
        <v>38089</v>
      </c>
      <c r="H18" s="390">
        <f>SUM('[4]13'!G15)</f>
        <v>34165</v>
      </c>
      <c r="I18" s="613">
        <f t="shared" si="0"/>
        <v>98.344847438111685</v>
      </c>
      <c r="J18" s="614"/>
      <c r="K18" s="614"/>
      <c r="L18" s="616"/>
      <c r="M18" s="616"/>
      <c r="N18" s="616"/>
    </row>
    <row r="19" spans="1:14" s="615" customFormat="1" ht="18" customHeight="1" x14ac:dyDescent="0.25">
      <c r="A19" s="882" t="s">
        <v>129</v>
      </c>
      <c r="B19" s="883"/>
      <c r="C19" s="391">
        <v>14</v>
      </c>
      <c r="D19" s="390">
        <v>18917</v>
      </c>
      <c r="E19" s="390">
        <v>21869</v>
      </c>
      <c r="F19" s="390">
        <f>SUM('[4]14'!E19)</f>
        <v>80460</v>
      </c>
      <c r="G19" s="390">
        <f>SUM('[4]14'!F19)</f>
        <v>81507</v>
      </c>
      <c r="H19" s="390">
        <f>SUM('[4]14'!G19)</f>
        <v>83940</v>
      </c>
      <c r="I19" s="613">
        <f t="shared" si="0"/>
        <v>104.32513049962715</v>
      </c>
      <c r="J19" s="112"/>
      <c r="K19" s="112"/>
      <c r="N19" s="616"/>
    </row>
    <row r="20" spans="1:14" s="612" customFormat="1" ht="18" customHeight="1" x14ac:dyDescent="0.25">
      <c r="A20" s="882" t="s">
        <v>384</v>
      </c>
      <c r="B20" s="883"/>
      <c r="C20" s="391">
        <v>15</v>
      </c>
      <c r="D20" s="517">
        <v>18917</v>
      </c>
      <c r="E20" s="517">
        <v>21869</v>
      </c>
      <c r="F20" s="390">
        <f>SUM('[4]15'!E9)</f>
        <v>0</v>
      </c>
      <c r="G20" s="390">
        <f>SUM('[4]15'!F9)</f>
        <v>510</v>
      </c>
      <c r="H20" s="390">
        <f>SUM('[4]15'!G9)</f>
        <v>515</v>
      </c>
      <c r="I20" s="613"/>
      <c r="J20" s="112"/>
      <c r="K20" s="112"/>
    </row>
    <row r="21" spans="1:14" s="612" customFormat="1" ht="18" customHeight="1" x14ac:dyDescent="0.25">
      <c r="A21" s="880" t="s">
        <v>80</v>
      </c>
      <c r="B21" s="897"/>
      <c r="C21" s="391">
        <v>17</v>
      </c>
      <c r="D21" s="390">
        <v>487</v>
      </c>
      <c r="E21" s="390">
        <v>989</v>
      </c>
      <c r="F21" s="390">
        <f>SUM('[4]17'!E12)</f>
        <v>1355</v>
      </c>
      <c r="G21" s="390">
        <f>SUM('[4]17'!F12)</f>
        <v>2317</v>
      </c>
      <c r="H21" s="390">
        <f>SUM('[4]17'!G12)</f>
        <v>1355</v>
      </c>
      <c r="I21" s="613">
        <f>H21/F21*100</f>
        <v>100</v>
      </c>
      <c r="J21" s="112"/>
      <c r="K21" s="112"/>
    </row>
    <row r="22" spans="1:14" s="612" customFormat="1" ht="18" customHeight="1" x14ac:dyDescent="0.25">
      <c r="A22" s="880" t="s">
        <v>81</v>
      </c>
      <c r="B22" s="881"/>
      <c r="C22" s="391">
        <v>18</v>
      </c>
      <c r="D22" s="390">
        <v>27425</v>
      </c>
      <c r="E22" s="390">
        <v>34572</v>
      </c>
      <c r="F22" s="390">
        <f>SUM('[4]18'!E30)</f>
        <v>72454</v>
      </c>
      <c r="G22" s="390">
        <f>SUM('[4]18'!F30)</f>
        <v>73187</v>
      </c>
      <c r="H22" s="390">
        <f>SUM('[4]18'!G30)</f>
        <v>166983</v>
      </c>
      <c r="I22" s="613">
        <f>H22/F22*100</f>
        <v>230.46760703342812</v>
      </c>
    </row>
    <row r="23" spans="1:14" s="615" customFormat="1" ht="18" customHeight="1" x14ac:dyDescent="0.25">
      <c r="A23" s="880" t="s">
        <v>130</v>
      </c>
      <c r="B23" s="881"/>
      <c r="C23" s="391">
        <v>20</v>
      </c>
      <c r="D23" s="390">
        <f>SUM('[4]20'!C10)</f>
        <v>0</v>
      </c>
      <c r="E23" s="390">
        <f>SUM('[4]20'!D10)</f>
        <v>0</v>
      </c>
      <c r="F23" s="390">
        <f>SUM('[4]20'!E10)</f>
        <v>577</v>
      </c>
      <c r="G23" s="390">
        <f>SUM('[4]20'!F10)</f>
        <v>577</v>
      </c>
      <c r="H23" s="390">
        <f>SUM('[4]20'!G10)</f>
        <v>577</v>
      </c>
      <c r="I23" s="613">
        <f>H23/F23*100</f>
        <v>100</v>
      </c>
      <c r="J23" s="612"/>
    </row>
    <row r="24" spans="1:14" s="615" customFormat="1" ht="18" customHeight="1" thickBot="1" x14ac:dyDescent="0.3">
      <c r="A24" s="880" t="s">
        <v>310</v>
      </c>
      <c r="B24" s="881"/>
      <c r="C24" s="391">
        <v>98</v>
      </c>
      <c r="D24" s="390">
        <f>SUM('[4]20'!C13)</f>
        <v>0</v>
      </c>
      <c r="E24" s="390">
        <f>SUM('[4]20'!D13)</f>
        <v>0</v>
      </c>
      <c r="F24" s="390">
        <f>SUM('[4]98'!E13)</f>
        <v>15000</v>
      </c>
      <c r="G24" s="390">
        <f>SUM('[4]98'!F13)</f>
        <v>49705</v>
      </c>
      <c r="H24" s="390">
        <f>SUM('[4]98'!G13)</f>
        <v>15000</v>
      </c>
      <c r="I24" s="613">
        <f>H24/F24*100</f>
        <v>100</v>
      </c>
      <c r="J24" s="612"/>
    </row>
    <row r="25" spans="1:14" s="253" customFormat="1" ht="25.5" customHeight="1" thickTop="1" thickBot="1" x14ac:dyDescent="0.3">
      <c r="A25" s="894" t="s">
        <v>131</v>
      </c>
      <c r="B25" s="895"/>
      <c r="C25" s="895"/>
      <c r="D25" s="114">
        <f>SUM(D7:D23)</f>
        <v>585249</v>
      </c>
      <c r="E25" s="114">
        <f>SUM(E7:E23)</f>
        <v>574035</v>
      </c>
      <c r="F25" s="114">
        <f>SUM(F7,F8,F9,F10,F11,F12,F13,F14,F15,F16,F17,F18,F19,F21,F22,F23,F24,F20)</f>
        <v>1223558</v>
      </c>
      <c r="G25" s="114">
        <f>SUM(G7,G8,G9,G10,G11,G12,G13,G14,G15,G16,G17,G18,G19,G21,G22,G23,G24,G20)</f>
        <v>1327217</v>
      </c>
      <c r="H25" s="114">
        <f>SUM(H7,H8,H9,H10,H11,H12,H13,H14,H15,H16,H17,H18,H19,H21,H22,H23,H24,H20)</f>
        <v>1596360</v>
      </c>
      <c r="I25" s="115">
        <f>H25/F25*100</f>
        <v>130.46868231828813</v>
      </c>
    </row>
    <row r="26" spans="1:14" ht="13.5" thickTop="1" x14ac:dyDescent="0.2">
      <c r="A26" s="617"/>
      <c r="B26" s="617"/>
      <c r="C26" s="617"/>
      <c r="D26" s="617"/>
      <c r="E26" s="617"/>
      <c r="F26" s="617"/>
      <c r="G26" s="617"/>
      <c r="H26" s="848"/>
      <c r="I26" s="617"/>
    </row>
    <row r="27" spans="1:14" x14ac:dyDescent="0.2">
      <c r="H27" s="849"/>
      <c r="I27" s="422"/>
    </row>
    <row r="28" spans="1:14" x14ac:dyDescent="0.2">
      <c r="I28" s="422"/>
    </row>
    <row r="29" spans="1:14" x14ac:dyDescent="0.2">
      <c r="I29" s="422"/>
    </row>
    <row r="30" spans="1:14" x14ac:dyDescent="0.2">
      <c r="I30" s="422"/>
    </row>
    <row r="31" spans="1:14" x14ac:dyDescent="0.2">
      <c r="I31" s="422"/>
    </row>
    <row r="32" spans="1:14" x14ac:dyDescent="0.2">
      <c r="I32" s="422"/>
    </row>
    <row r="33" spans="9:9" x14ac:dyDescent="0.2">
      <c r="I33" s="422"/>
    </row>
    <row r="34" spans="9:9" x14ac:dyDescent="0.2">
      <c r="I34" s="422"/>
    </row>
    <row r="35" spans="9:9" x14ac:dyDescent="0.2">
      <c r="I35" s="422"/>
    </row>
    <row r="36" spans="9:9" x14ac:dyDescent="0.2">
      <c r="I36" s="422"/>
    </row>
    <row r="37" spans="9:9" x14ac:dyDescent="0.2">
      <c r="I37" s="422"/>
    </row>
    <row r="38" spans="9:9" x14ac:dyDescent="0.2">
      <c r="I38" s="422"/>
    </row>
    <row r="39" spans="9:9" x14ac:dyDescent="0.2">
      <c r="I39" s="422"/>
    </row>
    <row r="40" spans="9:9" x14ac:dyDescent="0.2">
      <c r="I40" s="422"/>
    </row>
    <row r="41" spans="9:9" x14ac:dyDescent="0.2">
      <c r="I41" s="422"/>
    </row>
    <row r="42" spans="9:9" x14ac:dyDescent="0.2">
      <c r="I42" s="422"/>
    </row>
    <row r="43" spans="9:9" x14ac:dyDescent="0.2">
      <c r="I43" s="422"/>
    </row>
    <row r="44" spans="9:9" x14ac:dyDescent="0.2">
      <c r="I44" s="422"/>
    </row>
    <row r="45" spans="9:9" x14ac:dyDescent="0.2">
      <c r="I45" s="422"/>
    </row>
    <row r="46" spans="9:9" x14ac:dyDescent="0.2">
      <c r="I46" s="422"/>
    </row>
    <row r="47" spans="9:9" x14ac:dyDescent="0.2">
      <c r="I47" s="422"/>
    </row>
    <row r="48" spans="9:9" x14ac:dyDescent="0.2">
      <c r="I48" s="422"/>
    </row>
    <row r="49" spans="9:9" x14ac:dyDescent="0.2">
      <c r="I49" s="422"/>
    </row>
    <row r="50" spans="9:9" x14ac:dyDescent="0.2">
      <c r="I50" s="422"/>
    </row>
    <row r="51" spans="9:9" x14ac:dyDescent="0.2">
      <c r="I51" s="422"/>
    </row>
    <row r="52" spans="9:9" x14ac:dyDescent="0.2">
      <c r="I52" s="422"/>
    </row>
    <row r="53" spans="9:9" x14ac:dyDescent="0.2">
      <c r="I53" s="422"/>
    </row>
    <row r="54" spans="9:9" x14ac:dyDescent="0.2">
      <c r="I54" s="422"/>
    </row>
    <row r="55" spans="9:9" x14ac:dyDescent="0.2">
      <c r="I55" s="422"/>
    </row>
    <row r="56" spans="9:9" x14ac:dyDescent="0.2">
      <c r="I56" s="422"/>
    </row>
    <row r="57" spans="9:9" x14ac:dyDescent="0.2">
      <c r="I57" s="422"/>
    </row>
    <row r="58" spans="9:9" x14ac:dyDescent="0.2">
      <c r="I58" s="422"/>
    </row>
    <row r="59" spans="9:9" x14ac:dyDescent="0.2">
      <c r="I59" s="422"/>
    </row>
    <row r="60" spans="9:9" x14ac:dyDescent="0.2">
      <c r="I60" s="422"/>
    </row>
    <row r="61" spans="9:9" x14ac:dyDescent="0.2">
      <c r="I61" s="422"/>
    </row>
    <row r="62" spans="9:9" x14ac:dyDescent="0.2">
      <c r="I62" s="422"/>
    </row>
    <row r="63" spans="9:9" x14ac:dyDescent="0.2">
      <c r="I63" s="422"/>
    </row>
    <row r="64" spans="9:9" x14ac:dyDescent="0.2">
      <c r="I64" s="422"/>
    </row>
    <row r="65" spans="9:9" x14ac:dyDescent="0.2">
      <c r="I65" s="422"/>
    </row>
    <row r="66" spans="9:9" x14ac:dyDescent="0.2">
      <c r="I66" s="422"/>
    </row>
    <row r="67" spans="9:9" x14ac:dyDescent="0.2">
      <c r="I67" s="422"/>
    </row>
    <row r="68" spans="9:9" x14ac:dyDescent="0.2">
      <c r="I68" s="422"/>
    </row>
    <row r="69" spans="9:9" x14ac:dyDescent="0.2">
      <c r="I69" s="422"/>
    </row>
    <row r="70" spans="9:9" x14ac:dyDescent="0.2">
      <c r="I70" s="422"/>
    </row>
    <row r="71" spans="9:9" x14ac:dyDescent="0.2">
      <c r="I71" s="422"/>
    </row>
    <row r="72" spans="9:9" x14ac:dyDescent="0.2">
      <c r="I72" s="422"/>
    </row>
    <row r="73" spans="9:9" x14ac:dyDescent="0.2">
      <c r="I73" s="422"/>
    </row>
    <row r="74" spans="9:9" x14ac:dyDescent="0.2">
      <c r="I74" s="422"/>
    </row>
    <row r="75" spans="9:9" x14ac:dyDescent="0.2">
      <c r="I75" s="422"/>
    </row>
    <row r="76" spans="9:9" x14ac:dyDescent="0.2">
      <c r="I76" s="422"/>
    </row>
    <row r="77" spans="9:9" x14ac:dyDescent="0.2">
      <c r="I77" s="422"/>
    </row>
    <row r="78" spans="9:9" x14ac:dyDescent="0.2">
      <c r="I78" s="422"/>
    </row>
    <row r="79" spans="9:9" x14ac:dyDescent="0.2">
      <c r="I79" s="422"/>
    </row>
    <row r="80" spans="9:9" x14ac:dyDescent="0.2">
      <c r="I80" s="422"/>
    </row>
    <row r="81" spans="9:9" x14ac:dyDescent="0.2">
      <c r="I81" s="422"/>
    </row>
    <row r="82" spans="9:9" x14ac:dyDescent="0.2">
      <c r="I82" s="422"/>
    </row>
    <row r="83" spans="9:9" x14ac:dyDescent="0.2">
      <c r="I83" s="422"/>
    </row>
    <row r="84" spans="9:9" x14ac:dyDescent="0.2">
      <c r="I84" s="422"/>
    </row>
    <row r="85" spans="9:9" x14ac:dyDescent="0.2">
      <c r="I85" s="422"/>
    </row>
    <row r="86" spans="9:9" x14ac:dyDescent="0.2">
      <c r="I86" s="422"/>
    </row>
    <row r="87" spans="9:9" x14ac:dyDescent="0.2">
      <c r="I87" s="422"/>
    </row>
    <row r="88" spans="9:9" x14ac:dyDescent="0.2">
      <c r="I88" s="422"/>
    </row>
    <row r="89" spans="9:9" x14ac:dyDescent="0.2">
      <c r="I89" s="422"/>
    </row>
    <row r="90" spans="9:9" x14ac:dyDescent="0.2">
      <c r="I90" s="422"/>
    </row>
    <row r="91" spans="9:9" x14ac:dyDescent="0.2">
      <c r="I91" s="422"/>
    </row>
    <row r="92" spans="9:9" x14ac:dyDescent="0.2">
      <c r="I92" s="422"/>
    </row>
    <row r="93" spans="9:9" x14ac:dyDescent="0.2">
      <c r="I93" s="422"/>
    </row>
    <row r="94" spans="9:9" x14ac:dyDescent="0.2">
      <c r="I94" s="422"/>
    </row>
    <row r="95" spans="9:9" x14ac:dyDescent="0.2">
      <c r="I95" s="422"/>
    </row>
    <row r="96" spans="9:9" x14ac:dyDescent="0.2">
      <c r="I96" s="422"/>
    </row>
    <row r="97" spans="9:9" x14ac:dyDescent="0.2">
      <c r="I97" s="422"/>
    </row>
    <row r="98" spans="9:9" x14ac:dyDescent="0.2">
      <c r="I98" s="422"/>
    </row>
    <row r="99" spans="9:9" x14ac:dyDescent="0.2">
      <c r="I99" s="422"/>
    </row>
    <row r="100" spans="9:9" x14ac:dyDescent="0.2">
      <c r="I100" s="422"/>
    </row>
    <row r="101" spans="9:9" x14ac:dyDescent="0.2">
      <c r="I101" s="422"/>
    </row>
    <row r="102" spans="9:9" x14ac:dyDescent="0.2">
      <c r="I102" s="422"/>
    </row>
    <row r="103" spans="9:9" x14ac:dyDescent="0.2">
      <c r="I103" s="422"/>
    </row>
    <row r="104" spans="9:9" x14ac:dyDescent="0.2">
      <c r="I104" s="422"/>
    </row>
    <row r="105" spans="9:9" x14ac:dyDescent="0.2">
      <c r="I105" s="422"/>
    </row>
    <row r="106" spans="9:9" x14ac:dyDescent="0.2">
      <c r="I106" s="422"/>
    </row>
    <row r="107" spans="9:9" x14ac:dyDescent="0.2">
      <c r="I107" s="422"/>
    </row>
    <row r="108" spans="9:9" x14ac:dyDescent="0.2">
      <c r="I108" s="422"/>
    </row>
    <row r="109" spans="9:9" x14ac:dyDescent="0.2">
      <c r="I109" s="422"/>
    </row>
    <row r="110" spans="9:9" x14ac:dyDescent="0.2">
      <c r="I110" s="422"/>
    </row>
    <row r="111" spans="9:9" x14ac:dyDescent="0.2">
      <c r="I111" s="422"/>
    </row>
    <row r="112" spans="9:9" x14ac:dyDescent="0.2">
      <c r="I112" s="422"/>
    </row>
    <row r="113" spans="9:9" x14ac:dyDescent="0.2">
      <c r="I113" s="422"/>
    </row>
    <row r="114" spans="9:9" x14ac:dyDescent="0.2">
      <c r="I114" s="422"/>
    </row>
    <row r="115" spans="9:9" x14ac:dyDescent="0.2">
      <c r="I115" s="422"/>
    </row>
    <row r="116" spans="9:9" x14ac:dyDescent="0.2">
      <c r="I116" s="422"/>
    </row>
    <row r="117" spans="9:9" x14ac:dyDescent="0.2">
      <c r="I117" s="422"/>
    </row>
    <row r="118" spans="9:9" x14ac:dyDescent="0.2">
      <c r="I118" s="422"/>
    </row>
    <row r="119" spans="9:9" x14ac:dyDescent="0.2">
      <c r="I119" s="422"/>
    </row>
    <row r="120" spans="9:9" x14ac:dyDescent="0.2">
      <c r="I120" s="422"/>
    </row>
    <row r="121" spans="9:9" x14ac:dyDescent="0.2">
      <c r="I121" s="422"/>
    </row>
    <row r="122" spans="9:9" x14ac:dyDescent="0.2">
      <c r="I122" s="422"/>
    </row>
    <row r="123" spans="9:9" x14ac:dyDescent="0.2">
      <c r="I123" s="422"/>
    </row>
    <row r="124" spans="9:9" x14ac:dyDescent="0.2">
      <c r="I124" s="422"/>
    </row>
    <row r="125" spans="9:9" x14ac:dyDescent="0.2">
      <c r="I125" s="422"/>
    </row>
    <row r="126" spans="9:9" x14ac:dyDescent="0.2">
      <c r="I126" s="422"/>
    </row>
    <row r="127" spans="9:9" x14ac:dyDescent="0.2">
      <c r="I127" s="422"/>
    </row>
    <row r="128" spans="9:9" x14ac:dyDescent="0.2">
      <c r="I128" s="422"/>
    </row>
    <row r="129" spans="9:9" x14ac:dyDescent="0.2">
      <c r="I129" s="422"/>
    </row>
    <row r="130" spans="9:9" x14ac:dyDescent="0.2">
      <c r="I130" s="422"/>
    </row>
    <row r="131" spans="9:9" x14ac:dyDescent="0.2">
      <c r="I131" s="422"/>
    </row>
    <row r="132" spans="9:9" x14ac:dyDescent="0.2">
      <c r="I132" s="422"/>
    </row>
    <row r="133" spans="9:9" x14ac:dyDescent="0.2">
      <c r="I133" s="422"/>
    </row>
    <row r="134" spans="9:9" x14ac:dyDescent="0.2">
      <c r="I134" s="422"/>
    </row>
    <row r="135" spans="9:9" x14ac:dyDescent="0.2">
      <c r="I135" s="422"/>
    </row>
    <row r="136" spans="9:9" x14ac:dyDescent="0.2">
      <c r="I136" s="422"/>
    </row>
    <row r="137" spans="9:9" x14ac:dyDescent="0.2">
      <c r="I137" s="422"/>
    </row>
    <row r="138" spans="9:9" x14ac:dyDescent="0.2">
      <c r="I138" s="422"/>
    </row>
    <row r="139" spans="9:9" x14ac:dyDescent="0.2">
      <c r="I139" s="422"/>
    </row>
    <row r="140" spans="9:9" x14ac:dyDescent="0.2">
      <c r="I140" s="422"/>
    </row>
    <row r="141" spans="9:9" x14ac:dyDescent="0.2">
      <c r="I141" s="422"/>
    </row>
    <row r="142" spans="9:9" x14ac:dyDescent="0.2">
      <c r="I142" s="422"/>
    </row>
    <row r="143" spans="9:9" x14ac:dyDescent="0.2">
      <c r="I143" s="422"/>
    </row>
    <row r="144" spans="9:9" x14ac:dyDescent="0.2">
      <c r="I144" s="422"/>
    </row>
    <row r="145" spans="9:9" x14ac:dyDescent="0.2">
      <c r="I145" s="422"/>
    </row>
    <row r="146" spans="9:9" x14ac:dyDescent="0.2">
      <c r="I146" s="422"/>
    </row>
    <row r="147" spans="9:9" x14ac:dyDescent="0.2">
      <c r="I147" s="422"/>
    </row>
    <row r="148" spans="9:9" x14ac:dyDescent="0.2">
      <c r="I148" s="422"/>
    </row>
    <row r="149" spans="9:9" x14ac:dyDescent="0.2">
      <c r="I149" s="422"/>
    </row>
    <row r="150" spans="9:9" x14ac:dyDescent="0.2">
      <c r="I150" s="422"/>
    </row>
    <row r="151" spans="9:9" x14ac:dyDescent="0.2">
      <c r="I151" s="422"/>
    </row>
    <row r="152" spans="9:9" x14ac:dyDescent="0.2">
      <c r="I152" s="422"/>
    </row>
    <row r="153" spans="9:9" x14ac:dyDescent="0.2">
      <c r="I153" s="422"/>
    </row>
    <row r="154" spans="9:9" x14ac:dyDescent="0.2">
      <c r="I154" s="422"/>
    </row>
    <row r="155" spans="9:9" x14ac:dyDescent="0.2">
      <c r="I155" s="422"/>
    </row>
    <row r="156" spans="9:9" x14ac:dyDescent="0.2">
      <c r="I156" s="422"/>
    </row>
    <row r="157" spans="9:9" x14ac:dyDescent="0.2">
      <c r="I157" s="422"/>
    </row>
    <row r="158" spans="9:9" x14ac:dyDescent="0.2">
      <c r="I158" s="422"/>
    </row>
    <row r="159" spans="9:9" x14ac:dyDescent="0.2">
      <c r="I159" s="422"/>
    </row>
    <row r="160" spans="9:9" x14ac:dyDescent="0.2">
      <c r="I160" s="422"/>
    </row>
    <row r="161" spans="9:9" x14ac:dyDescent="0.2">
      <c r="I161" s="422"/>
    </row>
    <row r="162" spans="9:9" x14ac:dyDescent="0.2">
      <c r="I162" s="422"/>
    </row>
    <row r="163" spans="9:9" x14ac:dyDescent="0.2">
      <c r="I163" s="422"/>
    </row>
    <row r="164" spans="9:9" x14ac:dyDescent="0.2">
      <c r="I164" s="422"/>
    </row>
    <row r="165" spans="9:9" x14ac:dyDescent="0.2">
      <c r="I165" s="422"/>
    </row>
    <row r="166" spans="9:9" x14ac:dyDescent="0.2">
      <c r="I166" s="422"/>
    </row>
    <row r="167" spans="9:9" x14ac:dyDescent="0.2">
      <c r="I167" s="422"/>
    </row>
    <row r="168" spans="9:9" x14ac:dyDescent="0.2">
      <c r="I168" s="422"/>
    </row>
    <row r="169" spans="9:9" x14ac:dyDescent="0.2">
      <c r="I169" s="422"/>
    </row>
    <row r="170" spans="9:9" x14ac:dyDescent="0.2">
      <c r="I170" s="422"/>
    </row>
    <row r="171" spans="9:9" x14ac:dyDescent="0.2">
      <c r="I171" s="422"/>
    </row>
    <row r="172" spans="9:9" x14ac:dyDescent="0.2">
      <c r="I172" s="422"/>
    </row>
    <row r="173" spans="9:9" x14ac:dyDescent="0.2">
      <c r="I173" s="422"/>
    </row>
    <row r="174" spans="9:9" x14ac:dyDescent="0.2">
      <c r="I174" s="422"/>
    </row>
    <row r="175" spans="9:9" x14ac:dyDescent="0.2">
      <c r="I175" s="422"/>
    </row>
    <row r="176" spans="9:9" x14ac:dyDescent="0.2">
      <c r="I176" s="422"/>
    </row>
    <row r="177" spans="9:9" x14ac:dyDescent="0.2">
      <c r="I177" s="422"/>
    </row>
    <row r="178" spans="9:9" x14ac:dyDescent="0.2">
      <c r="I178" s="422"/>
    </row>
    <row r="179" spans="9:9" x14ac:dyDescent="0.2">
      <c r="I179" s="422"/>
    </row>
    <row r="180" spans="9:9" x14ac:dyDescent="0.2">
      <c r="I180" s="422"/>
    </row>
    <row r="181" spans="9:9" x14ac:dyDescent="0.2">
      <c r="I181" s="422"/>
    </row>
    <row r="182" spans="9:9" x14ac:dyDescent="0.2">
      <c r="I182" s="422"/>
    </row>
    <row r="183" spans="9:9" x14ac:dyDescent="0.2">
      <c r="I183" s="422"/>
    </row>
  </sheetData>
  <mergeCells count="21">
    <mergeCell ref="A25:C25"/>
    <mergeCell ref="A18:B18"/>
    <mergeCell ref="A20:B20"/>
    <mergeCell ref="A21:B21"/>
    <mergeCell ref="A23:B23"/>
    <mergeCell ref="A24:B24"/>
    <mergeCell ref="A19:B19"/>
    <mergeCell ref="A22:B22"/>
    <mergeCell ref="A17:B17"/>
    <mergeCell ref="A16:B16"/>
    <mergeCell ref="A5:B5"/>
    <mergeCell ref="A6:B6"/>
    <mergeCell ref="A7:B7"/>
    <mergeCell ref="A10:B10"/>
    <mergeCell ref="A13:B13"/>
    <mergeCell ref="A8:B8"/>
    <mergeCell ref="A9:B9"/>
    <mergeCell ref="A11:B11"/>
    <mergeCell ref="A12:B12"/>
    <mergeCell ref="A14:B14"/>
    <mergeCell ref="A15:B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10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FF"/>
  </sheetPr>
  <dimension ref="A1:N130"/>
  <sheetViews>
    <sheetView view="pageBreakPreview" topLeftCell="A104" zoomScaleNormal="100" zoomScaleSheetLayoutView="100" workbookViewId="0">
      <selection activeCell="C64" sqref="C64"/>
    </sheetView>
  </sheetViews>
  <sheetFormatPr defaultColWidth="9.140625" defaultRowHeight="14.25" x14ac:dyDescent="0.2"/>
  <cols>
    <col min="1" max="1" width="18" style="416" customWidth="1"/>
    <col min="2" max="2" width="68" style="406" customWidth="1"/>
    <col min="3" max="4" width="6.7109375" style="406" customWidth="1"/>
    <col min="5" max="5" width="15.7109375" style="406" customWidth="1"/>
    <col min="6" max="7" width="15.7109375" style="407" customWidth="1"/>
    <col min="8" max="8" width="10.28515625" style="417" customWidth="1"/>
    <col min="9" max="9" width="9.140625" style="119"/>
    <col min="10" max="10" width="22.140625" style="119" customWidth="1"/>
    <col min="11" max="16384" width="9.140625" style="119"/>
  </cols>
  <sheetData>
    <row r="1" spans="1:11" ht="20.25" x14ac:dyDescent="0.3">
      <c r="A1" s="116" t="s">
        <v>440</v>
      </c>
      <c r="B1" s="52"/>
      <c r="C1" s="52"/>
      <c r="D1" s="52"/>
      <c r="E1" s="52"/>
      <c r="F1" s="117"/>
      <c r="G1" s="117"/>
      <c r="H1" s="622"/>
    </row>
    <row r="2" spans="1:11" ht="15.75" x14ac:dyDescent="0.25">
      <c r="A2" s="623" t="s">
        <v>279</v>
      </c>
      <c r="B2" s="52"/>
      <c r="C2" s="52"/>
      <c r="D2" s="52"/>
      <c r="E2" s="52"/>
      <c r="F2" s="117"/>
      <c r="G2" s="117"/>
      <c r="H2" s="622"/>
    </row>
    <row r="3" spans="1:11" ht="15.75" customHeight="1" thickBot="1" x14ac:dyDescent="0.25">
      <c r="A3" s="392"/>
      <c r="B3" s="392"/>
      <c r="C3" s="392"/>
      <c r="D3" s="392"/>
      <c r="E3" s="392"/>
      <c r="F3" s="393"/>
      <c r="G3" s="393"/>
      <c r="H3" s="394" t="s">
        <v>96</v>
      </c>
    </row>
    <row r="4" spans="1:11" s="849" customFormat="1" ht="41.25" customHeight="1" thickTop="1" thickBot="1" x14ac:dyDescent="0.25">
      <c r="A4" s="850" t="s">
        <v>132</v>
      </c>
      <c r="B4" s="851"/>
      <c r="C4" s="851" t="s">
        <v>133</v>
      </c>
      <c r="D4" s="851" t="s">
        <v>119</v>
      </c>
      <c r="E4" s="110" t="s">
        <v>371</v>
      </c>
      <c r="F4" s="110" t="s">
        <v>382</v>
      </c>
      <c r="G4" s="110" t="s">
        <v>383</v>
      </c>
      <c r="H4" s="120" t="s">
        <v>2</v>
      </c>
    </row>
    <row r="5" spans="1:11" s="624" customFormat="1" ht="15" customHeight="1" thickTop="1" thickBot="1" x14ac:dyDescent="0.25">
      <c r="A5" s="901">
        <v>1</v>
      </c>
      <c r="B5" s="902"/>
      <c r="C5" s="121">
        <v>2</v>
      </c>
      <c r="D5" s="121">
        <v>3</v>
      </c>
      <c r="E5" s="122">
        <v>4</v>
      </c>
      <c r="F5" s="122">
        <v>5</v>
      </c>
      <c r="G5" s="122">
        <v>6</v>
      </c>
      <c r="H5" s="123" t="s">
        <v>100</v>
      </c>
    </row>
    <row r="6" spans="1:11" ht="15.75" thickBot="1" x14ac:dyDescent="0.3">
      <c r="A6" s="395" t="s">
        <v>51</v>
      </c>
      <c r="B6" s="846"/>
      <c r="C6" s="852"/>
      <c r="D6" s="124">
        <v>8</v>
      </c>
      <c r="E6" s="124">
        <f>SUM(E7,E10,E14)</f>
        <v>43615</v>
      </c>
      <c r="F6" s="124">
        <f>SUM(F7,F10,F14)</f>
        <v>58718</v>
      </c>
      <c r="G6" s="124">
        <f>SUM(G7,G10,G14,G18)</f>
        <v>98976</v>
      </c>
      <c r="H6" s="125">
        <f t="shared" ref="H6:H64" si="0">G6/E6*100</f>
        <v>226.93110168520002</v>
      </c>
      <c r="I6" s="147"/>
      <c r="J6" s="147"/>
      <c r="K6" s="147"/>
    </row>
    <row r="7" spans="1:11" x14ac:dyDescent="0.2">
      <c r="A7" s="135" t="s">
        <v>134</v>
      </c>
      <c r="B7" s="396" t="s">
        <v>386</v>
      </c>
      <c r="C7" s="127"/>
      <c r="D7" s="152"/>
      <c r="E7" s="128">
        <f>SUM(E8:E9)</f>
        <v>650</v>
      </c>
      <c r="F7" s="128">
        <f t="shared" ref="F7" si="1">SUM(F8:F9)</f>
        <v>500</v>
      </c>
      <c r="G7" s="128">
        <f>SUM(G8:G9)</f>
        <v>715</v>
      </c>
      <c r="H7" s="129">
        <f t="shared" si="0"/>
        <v>110.00000000000001</v>
      </c>
      <c r="I7" s="147"/>
      <c r="J7" s="147"/>
      <c r="K7" s="147"/>
    </row>
    <row r="8" spans="1:11" x14ac:dyDescent="0.2">
      <c r="A8" s="130" t="s">
        <v>135</v>
      </c>
      <c r="B8" s="140" t="s">
        <v>235</v>
      </c>
      <c r="C8" s="131">
        <v>430</v>
      </c>
      <c r="D8" s="140"/>
      <c r="E8" s="132">
        <f>SUM('[7]08'!I28)</f>
        <v>300</v>
      </c>
      <c r="F8" s="132">
        <f>SUM('[7]08'!J28)</f>
        <v>300</v>
      </c>
      <c r="G8" s="132">
        <f>SUM('[7]08'!G24:H24)</f>
        <v>300</v>
      </c>
      <c r="H8" s="133">
        <f>G8/E8*100</f>
        <v>100</v>
      </c>
      <c r="I8" s="147"/>
      <c r="J8" s="147"/>
      <c r="K8" s="147"/>
    </row>
    <row r="9" spans="1:11" x14ac:dyDescent="0.2">
      <c r="A9" s="134"/>
      <c r="B9" s="153" t="s">
        <v>236</v>
      </c>
      <c r="C9" s="136">
        <v>431</v>
      </c>
      <c r="D9" s="153"/>
      <c r="E9" s="137">
        <f>SUM('[7]08'!I29)</f>
        <v>350</v>
      </c>
      <c r="F9" s="137">
        <f>SUM('[7]08'!J29:J30)</f>
        <v>200</v>
      </c>
      <c r="G9" s="137">
        <f>SUM('[7]08'!G25:H25)</f>
        <v>415</v>
      </c>
      <c r="H9" s="138">
        <f t="shared" si="0"/>
        <v>118.57142857142857</v>
      </c>
      <c r="I9" s="147"/>
      <c r="J9" s="147"/>
      <c r="K9" s="147"/>
    </row>
    <row r="10" spans="1:11" x14ac:dyDescent="0.2">
      <c r="A10" s="126" t="s">
        <v>134</v>
      </c>
      <c r="B10" s="139" t="s">
        <v>387</v>
      </c>
      <c r="C10" s="127"/>
      <c r="D10" s="152"/>
      <c r="E10" s="128">
        <f>SUM(E11:E13)</f>
        <v>40765</v>
      </c>
      <c r="F10" s="128">
        <f t="shared" ref="F10" si="2">SUM(F11:F13)</f>
        <v>56476</v>
      </c>
      <c r="G10" s="128">
        <f>SUM(G11:G13)</f>
        <v>44841</v>
      </c>
      <c r="H10" s="129">
        <f t="shared" si="0"/>
        <v>109.99877345762297</v>
      </c>
      <c r="I10" s="147"/>
      <c r="J10" s="147"/>
      <c r="K10" s="147"/>
    </row>
    <row r="11" spans="1:11" x14ac:dyDescent="0.2">
      <c r="A11" s="130" t="s">
        <v>135</v>
      </c>
      <c r="B11" s="140" t="s">
        <v>238</v>
      </c>
      <c r="C11" s="131">
        <v>443</v>
      </c>
      <c r="D11" s="140"/>
      <c r="E11" s="132">
        <f>SUM('[7]08'!I37)</f>
        <v>36765</v>
      </c>
      <c r="F11" s="132">
        <v>49976</v>
      </c>
      <c r="G11" s="132">
        <f>SUM('[7]08'!G33:H33)</f>
        <v>39841</v>
      </c>
      <c r="H11" s="133">
        <f>G11/E11*100</f>
        <v>108.36665306677547</v>
      </c>
      <c r="I11" s="147"/>
      <c r="J11" s="147"/>
      <c r="K11" s="147"/>
    </row>
    <row r="12" spans="1:11" x14ac:dyDescent="0.2">
      <c r="A12" s="130"/>
      <c r="B12" s="140" t="s">
        <v>237</v>
      </c>
      <c r="C12" s="131">
        <v>441</v>
      </c>
      <c r="D12" s="140"/>
      <c r="E12" s="132">
        <f>SUM('[7]08'!I42)</f>
        <v>1000</v>
      </c>
      <c r="F12" s="132">
        <f>SUM('[7]08'!J42)</f>
        <v>2137</v>
      </c>
      <c r="G12" s="132">
        <f>SUM('[7]08'!G34:H34)</f>
        <v>2000</v>
      </c>
      <c r="H12" s="133">
        <f>G12/E12*100</f>
        <v>200</v>
      </c>
      <c r="I12" s="147"/>
      <c r="J12" s="147"/>
      <c r="K12" s="147"/>
    </row>
    <row r="13" spans="1:11" x14ac:dyDescent="0.2">
      <c r="A13" s="134"/>
      <c r="B13" s="153" t="s">
        <v>239</v>
      </c>
      <c r="C13" s="136">
        <v>444</v>
      </c>
      <c r="D13" s="153"/>
      <c r="E13" s="137">
        <f>SUM('[7]08'!I38)</f>
        <v>3000</v>
      </c>
      <c r="F13" s="137">
        <v>4363</v>
      </c>
      <c r="G13" s="137">
        <f>SUM('[7]08'!G35:H35)</f>
        <v>3000</v>
      </c>
      <c r="H13" s="138">
        <f t="shared" si="0"/>
        <v>100</v>
      </c>
      <c r="I13" s="147"/>
      <c r="J13" s="147"/>
      <c r="K13" s="147"/>
    </row>
    <row r="14" spans="1:11" x14ac:dyDescent="0.2">
      <c r="A14" s="135" t="s">
        <v>134</v>
      </c>
      <c r="B14" s="518" t="s">
        <v>388</v>
      </c>
      <c r="C14" s="196"/>
      <c r="D14" s="189"/>
      <c r="E14" s="184">
        <f>SUM(E15:E17)</f>
        <v>2200</v>
      </c>
      <c r="F14" s="184">
        <f>SUM(F15:F17)</f>
        <v>1742</v>
      </c>
      <c r="G14" s="184">
        <f>SUM(G15:G17)</f>
        <v>3420</v>
      </c>
      <c r="H14" s="129">
        <f t="shared" si="0"/>
        <v>155.45454545454544</v>
      </c>
      <c r="I14" s="147"/>
      <c r="J14" s="147"/>
      <c r="K14" s="147"/>
    </row>
    <row r="15" spans="1:11" x14ac:dyDescent="0.2">
      <c r="A15" s="130" t="s">
        <v>135</v>
      </c>
      <c r="B15" s="519" t="s">
        <v>311</v>
      </c>
      <c r="C15" s="196">
        <v>560</v>
      </c>
      <c r="D15" s="189"/>
      <c r="E15" s="132">
        <f>SUM('[7]08'!I51)</f>
        <v>1200</v>
      </c>
      <c r="F15" s="132">
        <f>SUM('[7]08'!J51:J53)</f>
        <v>1742</v>
      </c>
      <c r="G15" s="132">
        <f>SUM('[7]08'!G51:H51)</f>
        <v>1420</v>
      </c>
      <c r="H15" s="133">
        <f t="shared" si="0"/>
        <v>118.33333333333333</v>
      </c>
      <c r="I15" s="147"/>
      <c r="J15" s="147"/>
      <c r="K15" s="147"/>
    </row>
    <row r="16" spans="1:11" x14ac:dyDescent="0.2">
      <c r="A16" s="135"/>
      <c r="B16" s="519" t="s">
        <v>312</v>
      </c>
      <c r="C16" s="196">
        <v>561</v>
      </c>
      <c r="D16" s="189"/>
      <c r="E16" s="132">
        <v>1000</v>
      </c>
      <c r="F16" s="132">
        <v>0</v>
      </c>
      <c r="G16" s="132">
        <f>SUM('[7]08'!G53:H53)</f>
        <v>1000</v>
      </c>
      <c r="H16" s="133">
        <f t="shared" si="0"/>
        <v>100</v>
      </c>
      <c r="I16" s="147"/>
      <c r="J16" s="147"/>
      <c r="K16" s="147"/>
    </row>
    <row r="17" spans="1:14" x14ac:dyDescent="0.2">
      <c r="A17" s="625"/>
      <c r="B17" s="626" t="s">
        <v>389</v>
      </c>
      <c r="C17" s="191">
        <v>562</v>
      </c>
      <c r="D17" s="627"/>
      <c r="E17" s="137"/>
      <c r="F17" s="137"/>
      <c r="G17" s="137">
        <f>SUM('[7]08'!G48:H48)</f>
        <v>1000</v>
      </c>
      <c r="H17" s="138"/>
      <c r="I17" s="147"/>
      <c r="J17" s="147"/>
      <c r="K17" s="147"/>
    </row>
    <row r="18" spans="1:14" ht="28.5" customHeight="1" thickBot="1" x14ac:dyDescent="0.25">
      <c r="A18" s="135" t="s">
        <v>134</v>
      </c>
      <c r="B18" s="628" t="s">
        <v>390</v>
      </c>
      <c r="C18" s="853">
        <v>445</v>
      </c>
      <c r="D18" s="854"/>
      <c r="E18" s="132"/>
      <c r="F18" s="132"/>
      <c r="G18" s="184">
        <v>50000</v>
      </c>
      <c r="H18" s="133"/>
      <c r="I18" s="147"/>
      <c r="J18" s="147"/>
      <c r="K18" s="147"/>
    </row>
    <row r="19" spans="1:14" s="112" customFormat="1" ht="18" customHeight="1" thickBot="1" x14ac:dyDescent="0.3">
      <c r="A19" s="395" t="s">
        <v>126</v>
      </c>
      <c r="B19" s="846"/>
      <c r="C19" s="852"/>
      <c r="D19" s="124">
        <v>9</v>
      </c>
      <c r="E19" s="124">
        <f>SUM(E20,E29,E23)</f>
        <v>14200</v>
      </c>
      <c r="F19" s="124">
        <f>SUM(F20,F23,F29)</f>
        <v>14200</v>
      </c>
      <c r="G19" s="124">
        <f>SUM(G20,G29,G23)</f>
        <v>14200</v>
      </c>
      <c r="H19" s="125">
        <f t="shared" si="0"/>
        <v>100</v>
      </c>
      <c r="I19" s="113"/>
      <c r="J19" s="113"/>
      <c r="K19" s="113"/>
      <c r="L19" s="113"/>
      <c r="M19" s="113"/>
      <c r="N19" s="113"/>
    </row>
    <row r="20" spans="1:14" ht="27" customHeight="1" x14ac:dyDescent="0.2">
      <c r="A20" s="158" t="s">
        <v>134</v>
      </c>
      <c r="B20" s="142" t="s">
        <v>391</v>
      </c>
      <c r="C20" s="143">
        <v>455</v>
      </c>
      <c r="D20" s="144"/>
      <c r="E20" s="145">
        <v>500</v>
      </c>
      <c r="F20" s="145">
        <v>500</v>
      </c>
      <c r="G20" s="535"/>
      <c r="H20" s="146">
        <f t="shared" si="0"/>
        <v>0</v>
      </c>
      <c r="I20" s="147"/>
      <c r="J20" s="147"/>
      <c r="K20" s="147"/>
    </row>
    <row r="21" spans="1:14" s="151" customFormat="1" ht="12.75" hidden="1" x14ac:dyDescent="0.2">
      <c r="A21" s="141"/>
      <c r="B21" s="131" t="s">
        <v>136</v>
      </c>
      <c r="C21" s="140">
        <v>455</v>
      </c>
      <c r="D21" s="140"/>
      <c r="E21" s="132">
        <v>500</v>
      </c>
      <c r="F21" s="132">
        <v>500</v>
      </c>
      <c r="G21" s="132" t="e">
        <f>SUM('[7]09'!#REF!)</f>
        <v>#REF!</v>
      </c>
      <c r="H21" s="133" t="e">
        <f t="shared" si="0"/>
        <v>#REF!</v>
      </c>
    </row>
    <row r="22" spans="1:14" s="151" customFormat="1" ht="12.75" hidden="1" x14ac:dyDescent="0.2">
      <c r="A22" s="141"/>
      <c r="B22" s="131" t="s">
        <v>137</v>
      </c>
      <c r="C22" s="140">
        <v>456</v>
      </c>
      <c r="D22" s="140"/>
      <c r="E22" s="132">
        <v>500</v>
      </c>
      <c r="F22" s="132">
        <v>500</v>
      </c>
      <c r="G22" s="132" t="e">
        <f>SUM('[7]09'!#REF!)</f>
        <v>#REF!</v>
      </c>
      <c r="H22" s="133" t="e">
        <f t="shared" si="0"/>
        <v>#REF!</v>
      </c>
    </row>
    <row r="23" spans="1:14" ht="30.75" customHeight="1" x14ac:dyDescent="0.2">
      <c r="A23" s="148" t="s">
        <v>134</v>
      </c>
      <c r="B23" s="166" t="s">
        <v>392</v>
      </c>
      <c r="C23" s="127"/>
      <c r="D23" s="152"/>
      <c r="E23" s="128">
        <f t="shared" ref="E23" si="3">SUM(E26:E28)</f>
        <v>8700</v>
      </c>
      <c r="F23" s="128">
        <f>SUM(F26:F28)</f>
        <v>8700</v>
      </c>
      <c r="G23" s="128">
        <f>SUM(G26:G28)</f>
        <v>9200</v>
      </c>
      <c r="H23" s="129">
        <f>G23/E23*100</f>
        <v>105.74712643678161</v>
      </c>
    </row>
    <row r="24" spans="1:14" s="151" customFormat="1" ht="15" hidden="1" customHeight="1" x14ac:dyDescent="0.2">
      <c r="A24" s="130"/>
      <c r="B24" s="131" t="s">
        <v>140</v>
      </c>
      <c r="C24" s="131">
        <v>467</v>
      </c>
      <c r="D24" s="140"/>
      <c r="E24" s="132">
        <v>300</v>
      </c>
      <c r="F24" s="132">
        <v>102</v>
      </c>
      <c r="G24" s="132">
        <f>SUM('[7]09'!G17:H17)</f>
        <v>250</v>
      </c>
      <c r="H24" s="133">
        <f>G24/E24*100</f>
        <v>83.333333333333343</v>
      </c>
    </row>
    <row r="25" spans="1:14" s="151" customFormat="1" ht="40.5" hidden="1" customHeight="1" thickBot="1" x14ac:dyDescent="0.25">
      <c r="A25" s="141"/>
      <c r="B25" s="131" t="s">
        <v>141</v>
      </c>
      <c r="C25" s="131">
        <v>469</v>
      </c>
      <c r="D25" s="140"/>
      <c r="E25" s="132">
        <v>4700</v>
      </c>
      <c r="F25" s="132">
        <v>4898</v>
      </c>
      <c r="G25" s="132">
        <f>SUM('[7]09'!G18:H18)</f>
        <v>2000</v>
      </c>
      <c r="H25" s="133">
        <f>G25/E25*100</f>
        <v>42.553191489361701</v>
      </c>
    </row>
    <row r="26" spans="1:14" s="151" customFormat="1" ht="15.75" customHeight="1" x14ac:dyDescent="0.2">
      <c r="A26" s="130" t="s">
        <v>135</v>
      </c>
      <c r="B26" s="131" t="s">
        <v>393</v>
      </c>
      <c r="C26" s="131">
        <v>465</v>
      </c>
      <c r="D26" s="140"/>
      <c r="E26" s="132">
        <f>SUM('[7]09'!I24)</f>
        <v>6200</v>
      </c>
      <c r="F26" s="132">
        <f>SUM('[7]09'!J24,'[7]09'!M24,'[7]09'!P24)</f>
        <v>4361</v>
      </c>
      <c r="G26" s="132">
        <f>SUM('[7]09'!G19:H19)</f>
        <v>6700</v>
      </c>
      <c r="H26" s="133">
        <f>G26/E26*100</f>
        <v>108.06451612903226</v>
      </c>
    </row>
    <row r="27" spans="1:14" s="151" customFormat="1" ht="15.75" customHeight="1" x14ac:dyDescent="0.2">
      <c r="A27" s="130"/>
      <c r="B27" s="131" t="s">
        <v>394</v>
      </c>
      <c r="C27" s="131">
        <v>467</v>
      </c>
      <c r="D27" s="140"/>
      <c r="E27" s="132">
        <f>SUM('[7]09'!I25)</f>
        <v>1000</v>
      </c>
      <c r="F27" s="132">
        <f>SUM('[7]09'!J25,'[7]09'!M25)</f>
        <v>2796</v>
      </c>
      <c r="G27" s="132">
        <f>SUM('[7]09'!G20:H20)</f>
        <v>1000</v>
      </c>
      <c r="H27" s="133"/>
    </row>
    <row r="28" spans="1:14" s="151" customFormat="1" ht="27" customHeight="1" x14ac:dyDescent="0.2">
      <c r="A28" s="134"/>
      <c r="B28" s="136" t="s">
        <v>395</v>
      </c>
      <c r="C28" s="136">
        <v>466</v>
      </c>
      <c r="D28" s="153"/>
      <c r="E28" s="137">
        <v>1500</v>
      </c>
      <c r="F28" s="137">
        <f>SUM('[7]09'!J26)</f>
        <v>1543</v>
      </c>
      <c r="G28" s="137">
        <f>SUM('[7]09'!G21:H21)</f>
        <v>1500</v>
      </c>
      <c r="H28" s="138">
        <f>G28/E28*100</f>
        <v>100</v>
      </c>
    </row>
    <row r="29" spans="1:14" ht="45" customHeight="1" thickBot="1" x14ac:dyDescent="0.25">
      <c r="A29" s="182" t="s">
        <v>134</v>
      </c>
      <c r="B29" s="187" t="s">
        <v>396</v>
      </c>
      <c r="C29" s="196">
        <v>460</v>
      </c>
      <c r="D29" s="189"/>
      <c r="E29" s="184">
        <f>SUM('[7]09'!I33)</f>
        <v>5000</v>
      </c>
      <c r="F29" s="184">
        <f>SUM('[7]09'!J33)</f>
        <v>5000</v>
      </c>
      <c r="G29" s="184">
        <f>SUM('[7]09'!G28:H28)</f>
        <v>5000</v>
      </c>
      <c r="H29" s="185">
        <f t="shared" si="0"/>
        <v>100</v>
      </c>
    </row>
    <row r="30" spans="1:14" s="151" customFormat="1" ht="28.5" hidden="1" customHeight="1" thickBot="1" x14ac:dyDescent="0.25">
      <c r="A30" s="130" t="s">
        <v>135</v>
      </c>
      <c r="B30" s="131" t="s">
        <v>138</v>
      </c>
      <c r="C30" s="131">
        <v>460</v>
      </c>
      <c r="D30" s="140"/>
      <c r="E30" s="132">
        <v>2500</v>
      </c>
      <c r="F30" s="132">
        <v>3000</v>
      </c>
      <c r="G30" s="132">
        <f>SUM('[7]09'!G29:H29)</f>
        <v>2500</v>
      </c>
      <c r="H30" s="133">
        <f t="shared" si="0"/>
        <v>100</v>
      </c>
    </row>
    <row r="31" spans="1:14" s="151" customFormat="1" ht="30" hidden="1" customHeight="1" thickBot="1" x14ac:dyDescent="0.25">
      <c r="A31" s="134"/>
      <c r="B31" s="136" t="s">
        <v>139</v>
      </c>
      <c r="C31" s="136">
        <v>461</v>
      </c>
      <c r="D31" s="153"/>
      <c r="E31" s="137">
        <v>500</v>
      </c>
      <c r="F31" s="137">
        <v>0</v>
      </c>
      <c r="G31" s="137">
        <f>SUM('[7]09'!G31:H31)</f>
        <v>500</v>
      </c>
      <c r="H31" s="138">
        <f t="shared" si="0"/>
        <v>100</v>
      </c>
    </row>
    <row r="32" spans="1:14" s="112" customFormat="1" ht="18" customHeight="1" thickBot="1" x14ac:dyDescent="0.3">
      <c r="A32" s="395" t="s">
        <v>78</v>
      </c>
      <c r="B32" s="846"/>
      <c r="C32" s="852"/>
      <c r="D32" s="124">
        <v>10</v>
      </c>
      <c r="E32" s="124">
        <f>SUM(E33:E37)</f>
        <v>20900</v>
      </c>
      <c r="F32" s="124">
        <f t="shared" ref="F32" si="4">SUM(F33:F37)</f>
        <v>20860</v>
      </c>
      <c r="G32" s="124">
        <f>SUM(G33:G37)</f>
        <v>23400</v>
      </c>
      <c r="H32" s="125">
        <f t="shared" si="0"/>
        <v>111.96172248803829</v>
      </c>
      <c r="I32" s="113"/>
      <c r="J32" s="113"/>
      <c r="K32" s="113"/>
      <c r="L32" s="113"/>
      <c r="M32" s="113"/>
      <c r="N32" s="113"/>
    </row>
    <row r="33" spans="1:14" ht="29.25" customHeight="1" x14ac:dyDescent="0.2">
      <c r="A33" s="158" t="s">
        <v>134</v>
      </c>
      <c r="B33" s="397" t="s">
        <v>397</v>
      </c>
      <c r="C33" s="159">
        <v>485</v>
      </c>
      <c r="D33" s="160"/>
      <c r="E33" s="145">
        <f>SUM('[7]10'!I21:I24)</f>
        <v>16100</v>
      </c>
      <c r="F33" s="145">
        <f>SUM('[7]10'!J21:J24)</f>
        <v>16100</v>
      </c>
      <c r="G33" s="145">
        <f>SUM('[7]10'!G19:H19)</f>
        <v>16300</v>
      </c>
      <c r="H33" s="146">
        <f>G33/E33*100</f>
        <v>101.24223602484473</v>
      </c>
    </row>
    <row r="34" spans="1:14" ht="29.25" customHeight="1" x14ac:dyDescent="0.2">
      <c r="A34" s="190" t="s">
        <v>134</v>
      </c>
      <c r="B34" s="398" t="s">
        <v>398</v>
      </c>
      <c r="C34" s="191">
        <v>495</v>
      </c>
      <c r="D34" s="192"/>
      <c r="E34" s="193">
        <f>SUM('[7]10'!I30)</f>
        <v>700</v>
      </c>
      <c r="F34" s="193">
        <f>SUM('[7]10'!J30)</f>
        <v>700</v>
      </c>
      <c r="G34" s="193">
        <f>SUM('[7]10'!G28:H28)</f>
        <v>700</v>
      </c>
      <c r="H34" s="194">
        <f t="shared" si="0"/>
        <v>100</v>
      </c>
    </row>
    <row r="35" spans="1:14" ht="29.25" customHeight="1" x14ac:dyDescent="0.2">
      <c r="A35" s="161" t="s">
        <v>134</v>
      </c>
      <c r="B35" s="399" t="s">
        <v>399</v>
      </c>
      <c r="C35" s="162">
        <v>510</v>
      </c>
      <c r="D35" s="163"/>
      <c r="E35" s="164">
        <f>SUM('[7]10'!I36:I37)</f>
        <v>2400</v>
      </c>
      <c r="F35" s="164">
        <f>SUM('[7]10'!J36:J37)</f>
        <v>2360</v>
      </c>
      <c r="G35" s="164">
        <f>SUM('[7]10'!G34:H34)</f>
        <v>2400</v>
      </c>
      <c r="H35" s="165">
        <f>G35/E35*100</f>
        <v>100</v>
      </c>
    </row>
    <row r="36" spans="1:14" ht="28.5" customHeight="1" x14ac:dyDescent="0.2">
      <c r="A36" s="161" t="s">
        <v>134</v>
      </c>
      <c r="B36" s="209" t="s">
        <v>400</v>
      </c>
      <c r="C36" s="162">
        <v>520</v>
      </c>
      <c r="D36" s="163"/>
      <c r="E36" s="164">
        <f>SUM('[7]10'!I43:I44)</f>
        <v>1700</v>
      </c>
      <c r="F36" s="164">
        <f>SUM('[7]10'!J43:J44)</f>
        <v>1700</v>
      </c>
      <c r="G36" s="164">
        <f>SUM('[7]10'!G41:H41)</f>
        <v>1500</v>
      </c>
      <c r="H36" s="165">
        <f t="shared" si="0"/>
        <v>88.235294117647058</v>
      </c>
      <c r="I36" s="147"/>
      <c r="J36" s="147"/>
      <c r="K36" s="147"/>
    </row>
    <row r="37" spans="1:14" ht="28.5" customHeight="1" thickBot="1" x14ac:dyDescent="0.25">
      <c r="A37" s="161" t="s">
        <v>134</v>
      </c>
      <c r="B37" s="403" t="s">
        <v>401</v>
      </c>
      <c r="C37" s="196">
        <v>521</v>
      </c>
      <c r="D37" s="189"/>
      <c r="E37" s="184">
        <f>SUM('[7]10'!I49)</f>
        <v>0</v>
      </c>
      <c r="F37" s="184">
        <f>SUM('[7]10'!J48:J49)</f>
        <v>0</v>
      </c>
      <c r="G37" s="184">
        <f>SUM('[7]10'!G47:H47)</f>
        <v>2500</v>
      </c>
      <c r="H37" s="185"/>
      <c r="I37" s="147"/>
      <c r="J37" s="147"/>
      <c r="K37" s="147"/>
    </row>
    <row r="38" spans="1:14" s="112" customFormat="1" ht="18" customHeight="1" thickBot="1" x14ac:dyDescent="0.3">
      <c r="A38" s="395" t="s">
        <v>127</v>
      </c>
      <c r="B38" s="846"/>
      <c r="C38" s="852"/>
      <c r="D38" s="124">
        <v>11</v>
      </c>
      <c r="E38" s="124">
        <f>SUM(E39,E44,E45,E46)</f>
        <v>88900</v>
      </c>
      <c r="F38" s="124">
        <f>SUM(F39,F44,F45,F46)</f>
        <v>92617</v>
      </c>
      <c r="G38" s="124">
        <f>SUM(G39,G44,G45,G46)</f>
        <v>88900</v>
      </c>
      <c r="H38" s="125">
        <f t="shared" si="0"/>
        <v>100</v>
      </c>
      <c r="I38" s="113"/>
      <c r="J38" s="113"/>
      <c r="K38" s="113"/>
      <c r="L38" s="113"/>
      <c r="M38" s="113"/>
      <c r="N38" s="113"/>
    </row>
    <row r="39" spans="1:14" ht="15" customHeight="1" x14ac:dyDescent="0.2">
      <c r="A39" s="126" t="s">
        <v>134</v>
      </c>
      <c r="B39" s="396" t="s">
        <v>402</v>
      </c>
      <c r="C39" s="127"/>
      <c r="D39" s="152"/>
      <c r="E39" s="128">
        <f>SUM(E40:E43)</f>
        <v>30900</v>
      </c>
      <c r="F39" s="128">
        <f>SUM(F40:F43)</f>
        <v>15992</v>
      </c>
      <c r="G39" s="128">
        <f>SUM(G40:G43)</f>
        <v>33900</v>
      </c>
      <c r="H39" s="129">
        <f t="shared" si="0"/>
        <v>109.70873786407766</v>
      </c>
    </row>
    <row r="40" spans="1:14" s="151" customFormat="1" ht="15" customHeight="1" x14ac:dyDescent="0.2">
      <c r="A40" s="130" t="s">
        <v>135</v>
      </c>
      <c r="B40" s="140" t="s">
        <v>240</v>
      </c>
      <c r="C40" s="131">
        <v>525</v>
      </c>
      <c r="D40" s="140"/>
      <c r="E40" s="132">
        <f>SUM('[7]11'!E9)</f>
        <v>1650</v>
      </c>
      <c r="F40" s="132">
        <f>SUM('[7]11'!F9:F11)</f>
        <v>1650</v>
      </c>
      <c r="G40" s="132">
        <f>SUM('[7]11'!G24:H24)</f>
        <v>2000</v>
      </c>
      <c r="H40" s="133">
        <f t="shared" si="0"/>
        <v>121.21212121212122</v>
      </c>
    </row>
    <row r="41" spans="1:14" s="151" customFormat="1" ht="15" customHeight="1" x14ac:dyDescent="0.2">
      <c r="A41" s="141"/>
      <c r="B41" s="140" t="s">
        <v>241</v>
      </c>
      <c r="C41" s="131">
        <v>527</v>
      </c>
      <c r="D41" s="140"/>
      <c r="E41" s="132">
        <f>SUM('[7]11'!E12)</f>
        <v>1650</v>
      </c>
      <c r="F41" s="132">
        <f>SUM('[7]11'!F12:F13)</f>
        <v>3850</v>
      </c>
      <c r="G41" s="132">
        <f>SUM('[7]11'!G25:H25)</f>
        <v>3700</v>
      </c>
      <c r="H41" s="133">
        <f t="shared" si="0"/>
        <v>224.24242424242422</v>
      </c>
    </row>
    <row r="42" spans="1:14" s="151" customFormat="1" ht="15" customHeight="1" x14ac:dyDescent="0.2">
      <c r="A42" s="141"/>
      <c r="B42" s="140" t="s">
        <v>242</v>
      </c>
      <c r="C42" s="131">
        <v>528</v>
      </c>
      <c r="D42" s="140"/>
      <c r="E42" s="132">
        <f>SUM('[7]11'!E14)</f>
        <v>2600</v>
      </c>
      <c r="F42" s="132">
        <f>SUM('[7]11'!F14)</f>
        <v>3013</v>
      </c>
      <c r="G42" s="132">
        <f>SUM('[7]11'!G26:H26)</f>
        <v>3200</v>
      </c>
      <c r="H42" s="133">
        <f t="shared" si="0"/>
        <v>123.07692307692308</v>
      </c>
    </row>
    <row r="43" spans="1:14" s="151" customFormat="1" ht="15.75" customHeight="1" x14ac:dyDescent="0.2">
      <c r="A43" s="141"/>
      <c r="B43" s="131" t="s">
        <v>331</v>
      </c>
      <c r="C43" s="131">
        <v>529</v>
      </c>
      <c r="D43" s="140"/>
      <c r="E43" s="132">
        <f>SUM('[7]11'!E15)</f>
        <v>25000</v>
      </c>
      <c r="F43" s="132">
        <f>SUM('[7]11'!F15)</f>
        <v>7479</v>
      </c>
      <c r="G43" s="132">
        <f>SUM('[7]11'!G28:H28)</f>
        <v>25000</v>
      </c>
      <c r="H43" s="133">
        <f t="shared" si="0"/>
        <v>100</v>
      </c>
    </row>
    <row r="44" spans="1:14" ht="28.5" x14ac:dyDescent="0.2">
      <c r="A44" s="161" t="s">
        <v>134</v>
      </c>
      <c r="B44" s="209" t="s">
        <v>243</v>
      </c>
      <c r="C44" s="210">
        <v>530</v>
      </c>
      <c r="D44" s="211"/>
      <c r="E44" s="164">
        <v>55000</v>
      </c>
      <c r="F44" s="164">
        <f>SUM('[7]11'!J44)</f>
        <v>56104</v>
      </c>
      <c r="G44" s="164">
        <v>55000</v>
      </c>
      <c r="H44" s="165">
        <f t="shared" si="0"/>
        <v>100</v>
      </c>
      <c r="I44" s="147"/>
      <c r="J44" s="147"/>
      <c r="K44" s="147"/>
    </row>
    <row r="45" spans="1:14" ht="28.5" x14ac:dyDescent="0.2">
      <c r="A45" s="195" t="s">
        <v>134</v>
      </c>
      <c r="B45" s="403" t="s">
        <v>403</v>
      </c>
      <c r="C45" s="140">
        <v>531</v>
      </c>
      <c r="D45" s="629"/>
      <c r="E45" s="184">
        <f>SUM('[7]11'!E17)</f>
        <v>3000</v>
      </c>
      <c r="F45" s="184">
        <f>SUM('[7]11'!F17)</f>
        <v>3000</v>
      </c>
      <c r="G45" s="184">
        <f>SUM('[7]11'!G17)</f>
        <v>0</v>
      </c>
      <c r="H45" s="185"/>
      <c r="I45" s="147"/>
      <c r="J45" s="147"/>
      <c r="K45" s="147"/>
    </row>
    <row r="46" spans="1:14" ht="29.25" thickBot="1" x14ac:dyDescent="0.25">
      <c r="A46" s="135" t="s">
        <v>134</v>
      </c>
      <c r="B46" s="630" t="s">
        <v>404</v>
      </c>
      <c r="C46" s="631">
        <v>680</v>
      </c>
      <c r="D46" s="632"/>
      <c r="E46" s="633"/>
      <c r="F46" s="633">
        <f>SUM('[7]11'!F18)</f>
        <v>17521</v>
      </c>
      <c r="G46" s="633"/>
      <c r="H46" s="634"/>
      <c r="I46" s="147"/>
      <c r="J46" s="147"/>
      <c r="K46" s="147"/>
    </row>
    <row r="47" spans="1:14" s="112" customFormat="1" ht="18" customHeight="1" thickBot="1" x14ac:dyDescent="0.3">
      <c r="A47" s="395" t="s">
        <v>128</v>
      </c>
      <c r="B47" s="846"/>
      <c r="C47" s="852"/>
      <c r="D47" s="124">
        <v>12</v>
      </c>
      <c r="E47" s="124">
        <f>SUM(E48:E50)</f>
        <v>22000</v>
      </c>
      <c r="F47" s="124">
        <f t="shared" ref="F47:G47" si="5">SUM(F48:F50)</f>
        <v>24017</v>
      </c>
      <c r="G47" s="124">
        <f t="shared" si="5"/>
        <v>24200</v>
      </c>
      <c r="H47" s="125">
        <f t="shared" si="0"/>
        <v>110.00000000000001</v>
      </c>
      <c r="I47" s="113"/>
      <c r="J47" s="113"/>
      <c r="K47" s="113"/>
      <c r="L47" s="113"/>
      <c r="M47" s="113"/>
      <c r="N47" s="113"/>
    </row>
    <row r="48" spans="1:14" x14ac:dyDescent="0.2">
      <c r="A48" s="168" t="s">
        <v>134</v>
      </c>
      <c r="B48" s="400" t="s">
        <v>405</v>
      </c>
      <c r="C48" s="169">
        <v>535</v>
      </c>
      <c r="D48" s="170"/>
      <c r="E48" s="171">
        <f>SUM('[7]12'!I19)</f>
        <v>12000</v>
      </c>
      <c r="F48" s="171">
        <f>SUM('[7]12'!J19)</f>
        <v>13245</v>
      </c>
      <c r="G48" s="171">
        <f>SUM('[7]12'!G17:H17)</f>
        <v>12000</v>
      </c>
      <c r="H48" s="172">
        <f t="shared" si="0"/>
        <v>100</v>
      </c>
      <c r="I48" s="147"/>
      <c r="J48" s="147"/>
      <c r="K48" s="147"/>
    </row>
    <row r="49" spans="1:14" ht="27.75" customHeight="1" x14ac:dyDescent="0.2">
      <c r="A49" s="173" t="s">
        <v>134</v>
      </c>
      <c r="B49" s="400" t="s">
        <v>406</v>
      </c>
      <c r="C49" s="169">
        <v>590</v>
      </c>
      <c r="D49" s="170"/>
      <c r="E49" s="171">
        <f>SUM('[7]12'!I24)</f>
        <v>6000</v>
      </c>
      <c r="F49" s="171">
        <f>SUM('[7]12'!J24)</f>
        <v>7092</v>
      </c>
      <c r="G49" s="171">
        <f>SUM('[7]12'!G22:H22)</f>
        <v>6000</v>
      </c>
      <c r="H49" s="174">
        <f t="shared" si="0"/>
        <v>100</v>
      </c>
      <c r="I49" s="147"/>
      <c r="J49" s="147"/>
      <c r="K49" s="147"/>
    </row>
    <row r="50" spans="1:14" ht="29.25" customHeight="1" thickBot="1" x14ac:dyDescent="0.25">
      <c r="A50" s="175" t="s">
        <v>134</v>
      </c>
      <c r="B50" s="401" t="s">
        <v>407</v>
      </c>
      <c r="C50" s="176">
        <v>640</v>
      </c>
      <c r="D50" s="177"/>
      <c r="E50" s="178">
        <f>SUM('[7]12'!I29:I30)</f>
        <v>4000</v>
      </c>
      <c r="F50" s="178">
        <f>SUM('[7]12'!J29:J30)</f>
        <v>3680</v>
      </c>
      <c r="G50" s="178">
        <f>SUM('[7]12'!G29:H29)</f>
        <v>6200</v>
      </c>
      <c r="H50" s="174">
        <f t="shared" si="0"/>
        <v>155</v>
      </c>
      <c r="I50" s="147"/>
      <c r="J50" s="147"/>
      <c r="K50" s="147"/>
    </row>
    <row r="51" spans="1:14" s="112" customFormat="1" ht="18" customHeight="1" thickBot="1" x14ac:dyDescent="0.3">
      <c r="A51" s="395" t="s">
        <v>79</v>
      </c>
      <c r="B51" s="846"/>
      <c r="C51" s="852"/>
      <c r="D51" s="124">
        <v>13</v>
      </c>
      <c r="E51" s="124">
        <f>SUM(E52,E70)</f>
        <v>191855</v>
      </c>
      <c r="F51" s="124">
        <f>SUM(F52,F70)</f>
        <v>205127</v>
      </c>
      <c r="G51" s="124">
        <f>SUM(G52,G70)</f>
        <v>227263</v>
      </c>
      <c r="H51" s="125">
        <f t="shared" si="0"/>
        <v>118.45560449297648</v>
      </c>
      <c r="I51" s="113"/>
      <c r="J51" s="113"/>
      <c r="K51" s="113"/>
      <c r="L51" s="113"/>
      <c r="M51" s="113"/>
      <c r="N51" s="113"/>
    </row>
    <row r="52" spans="1:14" s="112" customFormat="1" ht="18" customHeight="1" x14ac:dyDescent="0.25">
      <c r="A52" s="402" t="s">
        <v>142</v>
      </c>
      <c r="B52" s="537"/>
      <c r="C52" s="855"/>
      <c r="D52" s="179"/>
      <c r="E52" s="180">
        <f>SUM(E53,E58,E59,E60,E63,E64,E65,E66,E78,E69)</f>
        <v>124755</v>
      </c>
      <c r="F52" s="180">
        <f>SUM(F53,F58,F59,F60,F63,F64,F65,F66,F69)</f>
        <v>131462</v>
      </c>
      <c r="G52" s="180">
        <f>SUM(G53,G58,G59,G60,G63,G64,G65,G66,G69)</f>
        <v>150953</v>
      </c>
      <c r="H52" s="181">
        <f t="shared" si="0"/>
        <v>120.99955913590638</v>
      </c>
      <c r="I52" s="539"/>
      <c r="J52" s="113"/>
      <c r="K52" s="113"/>
      <c r="L52" s="113"/>
      <c r="M52" s="113"/>
      <c r="N52" s="113"/>
    </row>
    <row r="53" spans="1:14" ht="28.5" x14ac:dyDescent="0.2">
      <c r="A53" s="182" t="s">
        <v>134</v>
      </c>
      <c r="B53" s="187" t="s">
        <v>408</v>
      </c>
      <c r="C53" s="188"/>
      <c r="D53" s="189"/>
      <c r="E53" s="184">
        <f>SUM(E54:E57)</f>
        <v>16500</v>
      </c>
      <c r="F53" s="184">
        <f>SUM(F54:F57)</f>
        <v>17043</v>
      </c>
      <c r="G53" s="184">
        <f>SUM(G54:G57)</f>
        <v>18700</v>
      </c>
      <c r="H53" s="185">
        <f t="shared" si="0"/>
        <v>113.33333333333333</v>
      </c>
      <c r="I53" s="147"/>
      <c r="J53" s="147"/>
      <c r="K53" s="147"/>
    </row>
    <row r="54" spans="1:14" s="151" customFormat="1" ht="15.75" customHeight="1" x14ac:dyDescent="0.2">
      <c r="A54" s="141"/>
      <c r="B54" s="140" t="s">
        <v>244</v>
      </c>
      <c r="C54" s="131">
        <v>501</v>
      </c>
      <c r="D54" s="140"/>
      <c r="E54" s="132">
        <f>SUM('[7]13'!I60)</f>
        <v>12300</v>
      </c>
      <c r="F54" s="132">
        <f>SUM('[7]13'!J60)</f>
        <v>12558</v>
      </c>
      <c r="G54" s="132">
        <f>SUM('[7]13'!G55:H55)</f>
        <v>13530</v>
      </c>
      <c r="H54" s="133">
        <f t="shared" si="0"/>
        <v>110.00000000000001</v>
      </c>
      <c r="I54" s="635"/>
      <c r="J54" s="635"/>
      <c r="K54" s="635"/>
    </row>
    <row r="55" spans="1:14" s="151" customFormat="1" ht="15" customHeight="1" x14ac:dyDescent="0.2">
      <c r="A55" s="141"/>
      <c r="B55" s="140" t="s">
        <v>245</v>
      </c>
      <c r="C55" s="140">
        <v>502</v>
      </c>
      <c r="D55" s="140"/>
      <c r="E55" s="132">
        <f>SUM('[7]13'!I65)</f>
        <v>200</v>
      </c>
      <c r="F55" s="132">
        <f>SUM('[7]13'!J65:L65)</f>
        <v>85</v>
      </c>
      <c r="G55" s="132">
        <f>SUM('[7]13'!G56:H56)</f>
        <v>270</v>
      </c>
      <c r="H55" s="133">
        <f t="shared" si="0"/>
        <v>135</v>
      </c>
      <c r="I55" s="635"/>
      <c r="J55" s="635"/>
      <c r="K55" s="635"/>
    </row>
    <row r="56" spans="1:14" s="151" customFormat="1" ht="12.75" x14ac:dyDescent="0.2">
      <c r="A56" s="141"/>
      <c r="B56" s="140" t="s">
        <v>246</v>
      </c>
      <c r="C56" s="140">
        <v>503</v>
      </c>
      <c r="D56" s="140"/>
      <c r="E56" s="132">
        <f>SUM('[7]13'!I66)</f>
        <v>1500</v>
      </c>
      <c r="F56" s="132">
        <f>SUM('[7]13'!J66:L66)</f>
        <v>1650</v>
      </c>
      <c r="G56" s="132">
        <f>SUM('[7]13'!G57:H57)</f>
        <v>1650</v>
      </c>
      <c r="H56" s="133">
        <f t="shared" si="0"/>
        <v>110.00000000000001</v>
      </c>
      <c r="I56" s="635"/>
      <c r="J56" s="635"/>
      <c r="K56" s="635"/>
    </row>
    <row r="57" spans="1:14" s="151" customFormat="1" ht="27" customHeight="1" x14ac:dyDescent="0.2">
      <c r="A57" s="134"/>
      <c r="B57" s="136" t="s">
        <v>247</v>
      </c>
      <c r="C57" s="153">
        <v>504</v>
      </c>
      <c r="D57" s="153"/>
      <c r="E57" s="137">
        <f>SUM('[7]13'!I67)</f>
        <v>2500</v>
      </c>
      <c r="F57" s="137">
        <f>SUM('[7]13'!J67)</f>
        <v>2750</v>
      </c>
      <c r="G57" s="137">
        <f>SUM('[7]13'!G58:H58)</f>
        <v>3250</v>
      </c>
      <c r="H57" s="138">
        <f t="shared" si="0"/>
        <v>130</v>
      </c>
      <c r="I57" s="635"/>
      <c r="J57" s="635"/>
      <c r="K57" s="635"/>
    </row>
    <row r="58" spans="1:14" ht="42" customHeight="1" x14ac:dyDescent="0.2">
      <c r="A58" s="190" t="s">
        <v>134</v>
      </c>
      <c r="B58" s="398" t="s">
        <v>409</v>
      </c>
      <c r="C58" s="191">
        <v>505</v>
      </c>
      <c r="D58" s="192"/>
      <c r="E58" s="193">
        <f>SUM('[7]13'!I72)</f>
        <v>1250</v>
      </c>
      <c r="F58" s="193">
        <f>SUM('[7]13'!J72:J73)</f>
        <v>1189</v>
      </c>
      <c r="G58" s="193">
        <f>SUM('[7]13'!G70:H70)</f>
        <v>1375</v>
      </c>
      <c r="H58" s="194">
        <f t="shared" si="0"/>
        <v>110.00000000000001</v>
      </c>
    </row>
    <row r="59" spans="1:14" ht="28.5" customHeight="1" x14ac:dyDescent="0.2">
      <c r="A59" s="161" t="s">
        <v>134</v>
      </c>
      <c r="B59" s="209" t="s">
        <v>410</v>
      </c>
      <c r="C59" s="162">
        <v>515</v>
      </c>
      <c r="D59" s="163"/>
      <c r="E59" s="164">
        <f>SUM('[7]13'!I78)</f>
        <v>3800</v>
      </c>
      <c r="F59" s="164">
        <f>SUM('[7]13'!J78)</f>
        <v>4366</v>
      </c>
      <c r="G59" s="164">
        <f>SUM('[7]13'!G76:H76)</f>
        <v>4180</v>
      </c>
      <c r="H59" s="165">
        <f t="shared" si="0"/>
        <v>110.00000000000001</v>
      </c>
      <c r="I59" s="147"/>
      <c r="J59" s="147"/>
      <c r="K59" s="147"/>
    </row>
    <row r="60" spans="1:14" ht="26.25" customHeight="1" x14ac:dyDescent="0.2">
      <c r="A60" s="182" t="s">
        <v>134</v>
      </c>
      <c r="B60" s="403" t="s">
        <v>411</v>
      </c>
      <c r="C60" s="183"/>
      <c r="D60" s="183"/>
      <c r="E60" s="184">
        <f>SUM(E61:E62)</f>
        <v>56600</v>
      </c>
      <c r="F60" s="184">
        <f>SUM(F61:F62)</f>
        <v>56600</v>
      </c>
      <c r="G60" s="184">
        <f>SUM(G61:G62)</f>
        <v>71910</v>
      </c>
      <c r="H60" s="185">
        <f t="shared" si="0"/>
        <v>127.04946996466431</v>
      </c>
      <c r="I60" s="186"/>
      <c r="J60" s="147"/>
      <c r="K60" s="147"/>
    </row>
    <row r="61" spans="1:14" s="151" customFormat="1" ht="12.75" x14ac:dyDescent="0.2">
      <c r="A61" s="141" t="s">
        <v>135</v>
      </c>
      <c r="B61" s="140" t="s">
        <v>248</v>
      </c>
      <c r="C61" s="140">
        <v>595</v>
      </c>
      <c r="D61" s="140"/>
      <c r="E61" s="132">
        <f>SUM('[7]13'!I87)</f>
        <v>34100</v>
      </c>
      <c r="F61" s="132">
        <f>SUM('[7]13'!J87)</f>
        <v>34100</v>
      </c>
      <c r="G61" s="132">
        <f>SUM([9]rekapitulace!$G$66)</f>
        <v>45160</v>
      </c>
      <c r="H61" s="133">
        <f t="shared" si="0"/>
        <v>132.43401759530792</v>
      </c>
      <c r="I61" s="635"/>
      <c r="J61" s="635"/>
      <c r="K61" s="635"/>
    </row>
    <row r="62" spans="1:14" s="151" customFormat="1" ht="13.5" thickBot="1" x14ac:dyDescent="0.25">
      <c r="A62" s="837"/>
      <c r="B62" s="838" t="s">
        <v>249</v>
      </c>
      <c r="C62" s="838">
        <v>596</v>
      </c>
      <c r="D62" s="838"/>
      <c r="E62" s="839">
        <f>SUM('[7]13'!I88)</f>
        <v>22500</v>
      </c>
      <c r="F62" s="839">
        <f>SUM('[7]13'!J88)</f>
        <v>22500</v>
      </c>
      <c r="G62" s="839">
        <f>SUM([9]rekapitulace!$G$67)</f>
        <v>26750</v>
      </c>
      <c r="H62" s="840">
        <f t="shared" si="0"/>
        <v>118.88888888888889</v>
      </c>
      <c r="I62" s="635"/>
      <c r="J62" s="635"/>
      <c r="K62" s="635"/>
    </row>
    <row r="63" spans="1:14" ht="28.5" customHeight="1" thickTop="1" x14ac:dyDescent="0.2">
      <c r="A63" s="190" t="s">
        <v>134</v>
      </c>
      <c r="B63" s="404" t="s">
        <v>412</v>
      </c>
      <c r="C63" s="191">
        <v>600</v>
      </c>
      <c r="D63" s="192"/>
      <c r="E63" s="193">
        <f>SUM('[7]13'!I93)</f>
        <v>1500</v>
      </c>
      <c r="F63" s="193">
        <f>SUM('[7]13'!J93:J94)</f>
        <v>1650</v>
      </c>
      <c r="G63" s="193">
        <f>SUM([9]rekapitulace!$G$68)</f>
        <v>2150</v>
      </c>
      <c r="H63" s="194">
        <f t="shared" si="0"/>
        <v>143.33333333333334</v>
      </c>
      <c r="I63" s="147"/>
      <c r="J63" s="147"/>
      <c r="K63" s="147"/>
    </row>
    <row r="64" spans="1:14" ht="28.5" customHeight="1" x14ac:dyDescent="0.2">
      <c r="A64" s="190" t="s">
        <v>134</v>
      </c>
      <c r="B64" s="404" t="s">
        <v>332</v>
      </c>
      <c r="C64" s="191">
        <v>605</v>
      </c>
      <c r="D64" s="192"/>
      <c r="E64" s="193">
        <v>17250</v>
      </c>
      <c r="F64" s="193">
        <v>21881</v>
      </c>
      <c r="G64" s="193">
        <f>SUM('[7]13'!G97:H97)</f>
        <v>18975</v>
      </c>
      <c r="H64" s="194">
        <f t="shared" si="0"/>
        <v>110.00000000000001</v>
      </c>
      <c r="I64" s="147"/>
      <c r="J64" s="147"/>
      <c r="K64" s="147"/>
    </row>
    <row r="65" spans="1:14" ht="42.75" customHeight="1" x14ac:dyDescent="0.2">
      <c r="A65" s="161" t="s">
        <v>134</v>
      </c>
      <c r="B65" s="209" t="s">
        <v>413</v>
      </c>
      <c r="C65" s="162">
        <v>615</v>
      </c>
      <c r="D65" s="163"/>
      <c r="E65" s="164">
        <f>SUM('[7]13'!I106)</f>
        <v>6000</v>
      </c>
      <c r="F65" s="164">
        <f>SUM('[7]13'!J106)</f>
        <v>6648</v>
      </c>
      <c r="G65" s="164">
        <f>SUM('[7]13'!G106:H106)</f>
        <v>6600</v>
      </c>
      <c r="H65" s="165">
        <f t="shared" ref="H65:H101" si="6">G65/E65*100</f>
        <v>110.00000000000001</v>
      </c>
      <c r="I65" s="147"/>
      <c r="J65" s="147"/>
      <c r="K65" s="147"/>
    </row>
    <row r="66" spans="1:14" x14ac:dyDescent="0.2">
      <c r="A66" s="135" t="s">
        <v>134</v>
      </c>
      <c r="B66" s="403" t="s">
        <v>414</v>
      </c>
      <c r="C66" s="167"/>
      <c r="D66" s="152"/>
      <c r="E66" s="128">
        <f>SUM(E67:E68)</f>
        <v>11855</v>
      </c>
      <c r="F66" s="128">
        <f>SUM(F67:F68)</f>
        <v>11085</v>
      </c>
      <c r="G66" s="128">
        <f t="shared" ref="G66" si="7">SUM(G67:G68)</f>
        <v>16063</v>
      </c>
      <c r="H66" s="129">
        <f t="shared" si="6"/>
        <v>135.49557148882329</v>
      </c>
      <c r="I66" s="147"/>
      <c r="J66" s="147"/>
      <c r="K66" s="147"/>
    </row>
    <row r="67" spans="1:14" s="151" customFormat="1" ht="12.75" x14ac:dyDescent="0.2">
      <c r="A67" s="141" t="s">
        <v>135</v>
      </c>
      <c r="B67" s="140" t="s">
        <v>250</v>
      </c>
      <c r="C67" s="140">
        <v>650</v>
      </c>
      <c r="D67" s="140"/>
      <c r="E67" s="132">
        <f>SUM('[7]13'!I115)</f>
        <v>5397</v>
      </c>
      <c r="F67" s="132">
        <f>SUM('[7]13'!J115)</f>
        <v>4626</v>
      </c>
      <c r="G67" s="132">
        <f>SUM('[7]13'!G115:H115)</f>
        <v>8959</v>
      </c>
      <c r="H67" s="133">
        <f t="shared" si="6"/>
        <v>165.99962942375396</v>
      </c>
      <c r="I67" s="635"/>
      <c r="J67" s="635"/>
      <c r="K67" s="635"/>
    </row>
    <row r="68" spans="1:14" s="151" customFormat="1" ht="12.75" x14ac:dyDescent="0.2">
      <c r="A68" s="134"/>
      <c r="B68" s="405" t="s">
        <v>251</v>
      </c>
      <c r="C68" s="153">
        <v>651</v>
      </c>
      <c r="D68" s="153"/>
      <c r="E68" s="137">
        <f>SUM('[7]13'!I116)</f>
        <v>6458</v>
      </c>
      <c r="F68" s="137">
        <f>SUM('[7]13'!J116)</f>
        <v>6459</v>
      </c>
      <c r="G68" s="137">
        <f>SUM('[7]13'!G116:H116)</f>
        <v>7104</v>
      </c>
      <c r="H68" s="138">
        <f t="shared" si="6"/>
        <v>110.00309693403531</v>
      </c>
      <c r="I68" s="635"/>
      <c r="J68" s="635"/>
      <c r="K68" s="635"/>
    </row>
    <row r="69" spans="1:14" ht="44.25" customHeight="1" thickBot="1" x14ac:dyDescent="0.25">
      <c r="A69" s="520" t="s">
        <v>134</v>
      </c>
      <c r="B69" s="521" t="s">
        <v>415</v>
      </c>
      <c r="C69" s="522">
        <v>695</v>
      </c>
      <c r="D69" s="523"/>
      <c r="E69" s="524">
        <f>SUM('[7]13'!I121)</f>
        <v>10000</v>
      </c>
      <c r="F69" s="524">
        <f>SUM('[7]13'!J121)</f>
        <v>11000</v>
      </c>
      <c r="G69" s="524">
        <f>SUM('[7]13'!G119:H119)</f>
        <v>11000</v>
      </c>
      <c r="H69" s="525">
        <f t="shared" si="6"/>
        <v>110.00000000000001</v>
      </c>
      <c r="I69" s="147"/>
      <c r="J69" s="147"/>
      <c r="K69" s="147"/>
    </row>
    <row r="70" spans="1:14" s="112" customFormat="1" ht="18" customHeight="1" thickTop="1" x14ac:dyDescent="0.25">
      <c r="A70" s="511" t="s">
        <v>143</v>
      </c>
      <c r="B70" s="526"/>
      <c r="C70" s="856"/>
      <c r="D70" s="512"/>
      <c r="E70" s="513">
        <f>SUM(E71,E75,E76,E77,E79)</f>
        <v>67100</v>
      </c>
      <c r="F70" s="513">
        <f>SUM(F71,F75,F76,F77,F79)</f>
        <v>73665</v>
      </c>
      <c r="G70" s="513">
        <f>SUM(G71,G75,G76,G77,G78,G79)</f>
        <v>76310</v>
      </c>
      <c r="H70" s="514">
        <f t="shared" si="6"/>
        <v>113.72578241430699</v>
      </c>
      <c r="I70" s="113"/>
      <c r="J70" s="113"/>
      <c r="K70" s="113"/>
      <c r="L70" s="113"/>
      <c r="M70" s="113"/>
      <c r="N70" s="113"/>
    </row>
    <row r="71" spans="1:14" x14ac:dyDescent="0.2">
      <c r="A71" s="135" t="s">
        <v>134</v>
      </c>
      <c r="B71" s="396" t="s">
        <v>416</v>
      </c>
      <c r="C71" s="188"/>
      <c r="D71" s="189"/>
      <c r="E71" s="184">
        <f>SUM(E72:E74)</f>
        <v>16500</v>
      </c>
      <c r="F71" s="184">
        <f>SUM(F72:F74)</f>
        <v>16471</v>
      </c>
      <c r="G71" s="184">
        <f t="shared" ref="G71" si="8">SUM(G72:G74)</f>
        <v>18000</v>
      </c>
      <c r="H71" s="185">
        <f t="shared" si="6"/>
        <v>109.09090909090908</v>
      </c>
      <c r="I71" s="147"/>
      <c r="J71" s="147"/>
      <c r="K71" s="147"/>
    </row>
    <row r="72" spans="1:14" s="151" customFormat="1" ht="12.75" x14ac:dyDescent="0.2">
      <c r="A72" s="130" t="s">
        <v>135</v>
      </c>
      <c r="B72" s="140" t="s">
        <v>252</v>
      </c>
      <c r="C72" s="131">
        <v>550</v>
      </c>
      <c r="D72" s="140"/>
      <c r="E72" s="132">
        <v>13500</v>
      </c>
      <c r="F72" s="132">
        <v>14904</v>
      </c>
      <c r="G72" s="132">
        <f>SUM('[7]13'!G125:H125)</f>
        <v>15000</v>
      </c>
      <c r="H72" s="133">
        <f t="shared" si="6"/>
        <v>111.11111111111111</v>
      </c>
      <c r="I72" s="635"/>
      <c r="J72" s="635"/>
      <c r="K72" s="635"/>
    </row>
    <row r="73" spans="1:14" s="151" customFormat="1" ht="12.75" x14ac:dyDescent="0.2">
      <c r="A73" s="141"/>
      <c r="B73" s="140" t="s">
        <v>253</v>
      </c>
      <c r="C73" s="131">
        <v>551</v>
      </c>
      <c r="D73" s="140"/>
      <c r="E73" s="132">
        <v>1000</v>
      </c>
      <c r="F73" s="132">
        <v>947</v>
      </c>
      <c r="G73" s="132">
        <f>SUM('[7]13'!G126:H126)</f>
        <v>1000</v>
      </c>
      <c r="H73" s="133">
        <f t="shared" si="6"/>
        <v>100</v>
      </c>
      <c r="I73" s="635"/>
      <c r="J73" s="635"/>
      <c r="K73" s="635"/>
    </row>
    <row r="74" spans="1:14" s="151" customFormat="1" ht="27" customHeight="1" x14ac:dyDescent="0.2">
      <c r="A74" s="134"/>
      <c r="B74" s="136" t="s">
        <v>254</v>
      </c>
      <c r="C74" s="136">
        <v>552</v>
      </c>
      <c r="D74" s="153"/>
      <c r="E74" s="137">
        <v>2000</v>
      </c>
      <c r="F74" s="137">
        <f>SUM('[7]13'!J135:J136)</f>
        <v>620</v>
      </c>
      <c r="G74" s="137">
        <f>SUM('[7]13'!G127:H127)</f>
        <v>2000</v>
      </c>
      <c r="H74" s="133">
        <f t="shared" si="6"/>
        <v>100</v>
      </c>
      <c r="I74" s="635"/>
      <c r="J74" s="635"/>
      <c r="K74" s="635"/>
    </row>
    <row r="75" spans="1:14" x14ac:dyDescent="0.2">
      <c r="A75" s="195" t="s">
        <v>134</v>
      </c>
      <c r="B75" s="399" t="s">
        <v>417</v>
      </c>
      <c r="C75" s="162">
        <v>555</v>
      </c>
      <c r="D75" s="163"/>
      <c r="E75" s="164">
        <f>SUM('[7]13'!I140)</f>
        <v>23990</v>
      </c>
      <c r="F75" s="164">
        <f>SUM('[7]13'!F34:F37)</f>
        <v>27486</v>
      </c>
      <c r="G75" s="164">
        <f>SUM('[7]13'!G140:H140)</f>
        <v>30000</v>
      </c>
      <c r="H75" s="165">
        <f t="shared" si="6"/>
        <v>125.05210504376825</v>
      </c>
      <c r="I75" s="147"/>
      <c r="J75" s="147"/>
      <c r="K75" s="147"/>
    </row>
    <row r="76" spans="1:14" ht="29.25" customHeight="1" x14ac:dyDescent="0.2">
      <c r="A76" s="161" t="s">
        <v>134</v>
      </c>
      <c r="B76" s="399" t="s">
        <v>418</v>
      </c>
      <c r="C76" s="162">
        <v>610</v>
      </c>
      <c r="D76" s="163"/>
      <c r="E76" s="164">
        <f>SUM('[7]13'!I146)</f>
        <v>15000</v>
      </c>
      <c r="F76" s="164">
        <f>SUM('[7]13'!J146)</f>
        <v>15000</v>
      </c>
      <c r="G76" s="164">
        <f>SUM('[7]13'!G144:H144)</f>
        <v>16900</v>
      </c>
      <c r="H76" s="165">
        <f t="shared" si="6"/>
        <v>112.66666666666667</v>
      </c>
    </row>
    <row r="77" spans="1:14" ht="29.25" customHeight="1" x14ac:dyDescent="0.2">
      <c r="A77" s="161" t="s">
        <v>134</v>
      </c>
      <c r="B77" s="399" t="s">
        <v>419</v>
      </c>
      <c r="C77" s="162">
        <v>620</v>
      </c>
      <c r="D77" s="163"/>
      <c r="E77" s="164">
        <v>1000</v>
      </c>
      <c r="F77" s="164">
        <v>4098</v>
      </c>
      <c r="G77" s="164"/>
      <c r="H77" s="165"/>
    </row>
    <row r="78" spans="1:14" s="151" customFormat="1" ht="28.5" x14ac:dyDescent="0.2">
      <c r="A78" s="161" t="s">
        <v>134</v>
      </c>
      <c r="B78" s="187" t="s">
        <v>420</v>
      </c>
      <c r="C78" s="196">
        <v>655</v>
      </c>
      <c r="D78" s="140"/>
      <c r="E78" s="132"/>
      <c r="F78" s="132"/>
      <c r="G78" s="636">
        <f>SUM('[7]13'!G150:H150)</f>
        <v>800</v>
      </c>
      <c r="H78" s="133"/>
      <c r="I78" s="635"/>
      <c r="J78" s="635"/>
      <c r="K78" s="635"/>
    </row>
    <row r="79" spans="1:14" ht="15" thickBot="1" x14ac:dyDescent="0.25">
      <c r="A79" s="195" t="s">
        <v>134</v>
      </c>
      <c r="B79" s="408" t="s">
        <v>313</v>
      </c>
      <c r="C79" s="162">
        <v>670</v>
      </c>
      <c r="D79" s="163"/>
      <c r="E79" s="164">
        <v>10610</v>
      </c>
      <c r="F79" s="164">
        <v>10610</v>
      </c>
      <c r="G79" s="164">
        <f>SUM('[7]13'!G155:H155)</f>
        <v>10610</v>
      </c>
      <c r="H79" s="165">
        <f t="shared" si="6"/>
        <v>100</v>
      </c>
      <c r="I79" s="147"/>
      <c r="J79" s="147"/>
      <c r="K79" s="147"/>
    </row>
    <row r="80" spans="1:14" ht="15" x14ac:dyDescent="0.25">
      <c r="A80" s="637" t="s">
        <v>129</v>
      </c>
      <c r="B80" s="205"/>
      <c r="C80" s="857"/>
      <c r="D80" s="205">
        <v>14</v>
      </c>
      <c r="E80" s="197">
        <f>SUM(E81,E85,E88,E90,E91)</f>
        <v>19900</v>
      </c>
      <c r="F80" s="197">
        <f>SUM(F81,F85,F88,F90,F91)</f>
        <v>20103</v>
      </c>
      <c r="G80" s="197">
        <f>SUM(G81,G85,G88,G90,G91)</f>
        <v>19900</v>
      </c>
      <c r="H80" s="198">
        <f t="shared" si="6"/>
        <v>100</v>
      </c>
    </row>
    <row r="81" spans="1:8" ht="15" customHeight="1" x14ac:dyDescent="0.2">
      <c r="A81" s="126" t="s">
        <v>134</v>
      </c>
      <c r="B81" s="139" t="s">
        <v>421</v>
      </c>
      <c r="C81" s="167">
        <v>575</v>
      </c>
      <c r="D81" s="152"/>
      <c r="E81" s="128">
        <f>SUM(E82:E84)</f>
        <v>3450</v>
      </c>
      <c r="F81" s="128">
        <f>SUM(F82:F84)</f>
        <v>3450</v>
      </c>
      <c r="G81" s="128">
        <f>SUM('[7]14'!G22:H22)</f>
        <v>3450</v>
      </c>
      <c r="H81" s="129">
        <f t="shared" si="6"/>
        <v>100</v>
      </c>
    </row>
    <row r="82" spans="1:8" s="151" customFormat="1" ht="15" customHeight="1" x14ac:dyDescent="0.2">
      <c r="A82" s="130" t="s">
        <v>135</v>
      </c>
      <c r="B82" s="131" t="s">
        <v>422</v>
      </c>
      <c r="C82" s="131">
        <v>575</v>
      </c>
      <c r="D82" s="140"/>
      <c r="E82" s="132">
        <v>1800</v>
      </c>
      <c r="F82" s="132">
        <v>2000</v>
      </c>
      <c r="G82" s="132">
        <v>0</v>
      </c>
      <c r="H82" s="133">
        <f t="shared" si="6"/>
        <v>0</v>
      </c>
    </row>
    <row r="83" spans="1:8" s="151" customFormat="1" ht="15" customHeight="1" x14ac:dyDescent="0.2">
      <c r="A83" s="141"/>
      <c r="B83" s="131" t="s">
        <v>423</v>
      </c>
      <c r="C83" s="131">
        <v>577</v>
      </c>
      <c r="D83" s="140"/>
      <c r="E83" s="132">
        <v>1000</v>
      </c>
      <c r="F83" s="132">
        <v>1000</v>
      </c>
      <c r="G83" s="132"/>
      <c r="H83" s="133">
        <f t="shared" si="6"/>
        <v>0</v>
      </c>
    </row>
    <row r="84" spans="1:8" s="151" customFormat="1" ht="16.5" customHeight="1" x14ac:dyDescent="0.2">
      <c r="A84" s="141"/>
      <c r="B84" s="131" t="s">
        <v>424</v>
      </c>
      <c r="C84" s="131">
        <v>579</v>
      </c>
      <c r="D84" s="140"/>
      <c r="E84" s="132">
        <v>650</v>
      </c>
      <c r="F84" s="132">
        <v>450</v>
      </c>
      <c r="G84" s="132">
        <v>0</v>
      </c>
      <c r="H84" s="133">
        <f t="shared" si="6"/>
        <v>0</v>
      </c>
    </row>
    <row r="85" spans="1:8" ht="28.5" customHeight="1" x14ac:dyDescent="0.2">
      <c r="A85" s="148" t="s">
        <v>134</v>
      </c>
      <c r="B85" s="166" t="s">
        <v>425</v>
      </c>
      <c r="C85" s="149"/>
      <c r="D85" s="152"/>
      <c r="E85" s="128">
        <f>SUM(E86:E87)</f>
        <v>2450</v>
      </c>
      <c r="F85" s="128">
        <f>SUM(F86:F87)</f>
        <v>2653</v>
      </c>
      <c r="G85" s="128">
        <f>SUM(G86:G87)</f>
        <v>2450</v>
      </c>
      <c r="H85" s="129">
        <f t="shared" si="6"/>
        <v>100</v>
      </c>
    </row>
    <row r="86" spans="1:8" s="151" customFormat="1" ht="15.75" customHeight="1" x14ac:dyDescent="0.2">
      <c r="A86" s="130" t="s">
        <v>135</v>
      </c>
      <c r="B86" s="131" t="s">
        <v>255</v>
      </c>
      <c r="C86" s="140">
        <v>566</v>
      </c>
      <c r="D86" s="140"/>
      <c r="E86" s="132">
        <f>SUM('[7]14'!I33)</f>
        <v>800</v>
      </c>
      <c r="F86" s="132">
        <v>888</v>
      </c>
      <c r="G86" s="132">
        <f>SUM('[7]14'!G33:H33)</f>
        <v>800</v>
      </c>
      <c r="H86" s="133">
        <f t="shared" si="6"/>
        <v>100</v>
      </c>
    </row>
    <row r="87" spans="1:8" s="151" customFormat="1" ht="17.25" customHeight="1" x14ac:dyDescent="0.2">
      <c r="A87" s="141"/>
      <c r="B87" s="131" t="s">
        <v>256</v>
      </c>
      <c r="C87" s="140">
        <v>675</v>
      </c>
      <c r="D87" s="140"/>
      <c r="E87" s="132">
        <f>SUM('[7]14'!I34)</f>
        <v>1650</v>
      </c>
      <c r="F87" s="132">
        <v>1765</v>
      </c>
      <c r="G87" s="132">
        <f>SUM('[7]14'!G34:H34)</f>
        <v>1650</v>
      </c>
      <c r="H87" s="133">
        <f t="shared" si="6"/>
        <v>100</v>
      </c>
    </row>
    <row r="88" spans="1:8" s="638" customFormat="1" ht="15" customHeight="1" x14ac:dyDescent="0.2">
      <c r="A88" s="195" t="s">
        <v>134</v>
      </c>
      <c r="B88" s="211" t="s">
        <v>426</v>
      </c>
      <c r="C88" s="210">
        <v>570</v>
      </c>
      <c r="D88" s="211"/>
      <c r="E88" s="164">
        <f>SUM('[7]14'!I39)</f>
        <v>1500</v>
      </c>
      <c r="F88" s="164">
        <f>SUM('[7]14'!J39)</f>
        <v>1500</v>
      </c>
      <c r="G88" s="164">
        <f>SUM('[7]14'!G37:H37)</f>
        <v>1500</v>
      </c>
      <c r="H88" s="199">
        <f t="shared" si="6"/>
        <v>100</v>
      </c>
    </row>
    <row r="89" spans="1:8" s="638" customFormat="1" ht="30" hidden="1" customHeight="1" thickBot="1" x14ac:dyDescent="0.25">
      <c r="A89" s="195" t="s">
        <v>134</v>
      </c>
      <c r="B89" s="209" t="s">
        <v>333</v>
      </c>
      <c r="C89" s="210">
        <v>625</v>
      </c>
      <c r="D89" s="211"/>
      <c r="E89" s="164">
        <f>SUM('[7]14'!I44)</f>
        <v>0</v>
      </c>
      <c r="F89" s="164">
        <f>SUM('[7]14'!J44)</f>
        <v>0</v>
      </c>
      <c r="G89" s="639">
        <f>SUM('[7]14'!G42:H42)</f>
        <v>0</v>
      </c>
      <c r="H89" s="199" t="e">
        <f t="shared" si="6"/>
        <v>#DIV/0!</v>
      </c>
    </row>
    <row r="90" spans="1:8" s="638" customFormat="1" ht="30" customHeight="1" x14ac:dyDescent="0.2">
      <c r="A90" s="195" t="s">
        <v>134</v>
      </c>
      <c r="B90" s="628" t="s">
        <v>427</v>
      </c>
      <c r="C90" s="149">
        <v>626</v>
      </c>
      <c r="D90" s="150"/>
      <c r="E90" s="128">
        <f>SUM('[7]14'!I49)</f>
        <v>2000</v>
      </c>
      <c r="F90" s="128">
        <v>2000</v>
      </c>
      <c r="G90" s="128">
        <f>SUM('[7]14'!G47:H47)</f>
        <v>2000</v>
      </c>
      <c r="H90" s="199">
        <f t="shared" si="6"/>
        <v>100</v>
      </c>
    </row>
    <row r="91" spans="1:8" s="638" customFormat="1" ht="31.5" customHeight="1" x14ac:dyDescent="0.2">
      <c r="A91" s="148" t="s">
        <v>134</v>
      </c>
      <c r="B91" s="166" t="s">
        <v>428</v>
      </c>
      <c r="C91" s="149">
        <v>660</v>
      </c>
      <c r="D91" s="152"/>
      <c r="E91" s="128">
        <f>SUM(E92:E94)</f>
        <v>10500</v>
      </c>
      <c r="F91" s="128">
        <f>SUM(F92:F94)</f>
        <v>10500</v>
      </c>
      <c r="G91" s="128">
        <f>SUM('[7]14'!G52:H52)</f>
        <v>10500</v>
      </c>
      <c r="H91" s="129">
        <f t="shared" si="6"/>
        <v>100</v>
      </c>
    </row>
    <row r="92" spans="1:8" s="640" customFormat="1" ht="15.75" customHeight="1" x14ac:dyDescent="0.2">
      <c r="A92" s="130" t="s">
        <v>135</v>
      </c>
      <c r="B92" s="131" t="s">
        <v>429</v>
      </c>
      <c r="C92" s="140">
        <v>660</v>
      </c>
      <c r="D92" s="140"/>
      <c r="E92" s="132">
        <v>2100</v>
      </c>
      <c r="F92" s="132">
        <v>2100</v>
      </c>
      <c r="G92" s="132"/>
      <c r="H92" s="133">
        <f t="shared" si="6"/>
        <v>0</v>
      </c>
    </row>
    <row r="93" spans="1:8" s="642" customFormat="1" ht="15.75" customHeight="1" x14ac:dyDescent="0.2">
      <c r="A93" s="141"/>
      <c r="B93" s="641" t="s">
        <v>430</v>
      </c>
      <c r="C93" s="140">
        <v>661</v>
      </c>
      <c r="D93" s="140"/>
      <c r="E93" s="132">
        <v>7900</v>
      </c>
      <c r="F93" s="132">
        <v>7664</v>
      </c>
      <c r="G93" s="132"/>
      <c r="H93" s="133">
        <f t="shared" si="6"/>
        <v>0</v>
      </c>
    </row>
    <row r="94" spans="1:8" s="640" customFormat="1" ht="15.75" customHeight="1" thickBot="1" x14ac:dyDescent="0.25">
      <c r="A94" s="141"/>
      <c r="B94" s="131" t="s">
        <v>431</v>
      </c>
      <c r="C94" s="140">
        <v>665</v>
      </c>
      <c r="D94" s="140"/>
      <c r="E94" s="132">
        <v>500</v>
      </c>
      <c r="F94" s="132">
        <v>736</v>
      </c>
      <c r="G94" s="132"/>
      <c r="H94" s="133">
        <f t="shared" si="6"/>
        <v>0</v>
      </c>
    </row>
    <row r="95" spans="1:8" ht="15.75" thickBot="1" x14ac:dyDescent="0.3">
      <c r="A95" s="643" t="s">
        <v>81</v>
      </c>
      <c r="B95" s="644"/>
      <c r="C95" s="852"/>
      <c r="D95" s="644">
        <v>18</v>
      </c>
      <c r="E95" s="200">
        <f>SUM(E96,E103,E106)</f>
        <v>24090</v>
      </c>
      <c r="F95" s="200">
        <f>SUM(F96,F103,F106)</f>
        <v>27441</v>
      </c>
      <c r="G95" s="200">
        <f>SUM(G96,G102,G103,G106)</f>
        <v>61176</v>
      </c>
      <c r="H95" s="201">
        <f t="shared" si="6"/>
        <v>253.94769613947696</v>
      </c>
    </row>
    <row r="96" spans="1:8" ht="30" customHeight="1" x14ac:dyDescent="0.2">
      <c r="A96" s="182" t="s">
        <v>134</v>
      </c>
      <c r="B96" s="187" t="s">
        <v>432</v>
      </c>
      <c r="C96" s="188"/>
      <c r="D96" s="189"/>
      <c r="E96" s="184">
        <f>SUM(E97:E101)</f>
        <v>9900</v>
      </c>
      <c r="F96" s="184">
        <f t="shared" ref="F96:G96" si="9">SUM(F97:F101)</f>
        <v>11985</v>
      </c>
      <c r="G96" s="184">
        <f t="shared" si="9"/>
        <v>9900</v>
      </c>
      <c r="H96" s="185">
        <f t="shared" si="6"/>
        <v>100</v>
      </c>
    </row>
    <row r="97" spans="1:14" s="151" customFormat="1" ht="15" customHeight="1" x14ac:dyDescent="0.2">
      <c r="A97" s="130" t="s">
        <v>135</v>
      </c>
      <c r="B97" s="131" t="s">
        <v>257</v>
      </c>
      <c r="C97" s="131">
        <v>580</v>
      </c>
      <c r="D97" s="140"/>
      <c r="E97" s="132">
        <f>SUM('[7]18'!K23)</f>
        <v>1000</v>
      </c>
      <c r="F97" s="132">
        <f>SUM('[7]18'!L22:L23)</f>
        <v>1000</v>
      </c>
      <c r="G97" s="132">
        <f>SUM('[7]18'!G22:H22)</f>
        <v>1000</v>
      </c>
      <c r="H97" s="133">
        <f t="shared" si="6"/>
        <v>100</v>
      </c>
    </row>
    <row r="98" spans="1:14" s="151" customFormat="1" ht="15" customHeight="1" x14ac:dyDescent="0.2">
      <c r="A98" s="141"/>
      <c r="B98" s="131" t="s">
        <v>258</v>
      </c>
      <c r="C98" s="131">
        <v>581</v>
      </c>
      <c r="D98" s="140"/>
      <c r="E98" s="132">
        <f>SUM('[7]18'!K24:K25)</f>
        <v>600</v>
      </c>
      <c r="F98" s="132">
        <f>SUM('[7]18'!L24:L25)</f>
        <v>600</v>
      </c>
      <c r="G98" s="132">
        <f>SUM('[7]18'!G23:H23)</f>
        <v>600</v>
      </c>
      <c r="H98" s="133">
        <f t="shared" si="6"/>
        <v>100</v>
      </c>
    </row>
    <row r="99" spans="1:14" s="151" customFormat="1" ht="15" customHeight="1" x14ac:dyDescent="0.2">
      <c r="A99" s="141"/>
      <c r="B99" s="131" t="s">
        <v>259</v>
      </c>
      <c r="C99" s="131">
        <v>582</v>
      </c>
      <c r="D99" s="140"/>
      <c r="E99" s="132">
        <f>SUM('[7]18'!K27:K28)</f>
        <v>1200</v>
      </c>
      <c r="F99" s="132">
        <f>SUM('[7]18'!L27:L28)</f>
        <v>1200</v>
      </c>
      <c r="G99" s="132">
        <f>SUM('[7]18'!G24:H24)</f>
        <v>1200</v>
      </c>
      <c r="H99" s="133">
        <f t="shared" si="6"/>
        <v>100</v>
      </c>
    </row>
    <row r="100" spans="1:14" s="151" customFormat="1" ht="14.25" customHeight="1" x14ac:dyDescent="0.2">
      <c r="A100" s="141"/>
      <c r="B100" s="131" t="s">
        <v>260</v>
      </c>
      <c r="C100" s="131">
        <v>583</v>
      </c>
      <c r="D100" s="140"/>
      <c r="E100" s="132">
        <f>SUM('[7]18'!K29:K31)</f>
        <v>6100</v>
      </c>
      <c r="F100" s="132">
        <f>SUM('[7]18'!L29:L31)</f>
        <v>8185</v>
      </c>
      <c r="G100" s="132">
        <f>SUM('[7]18'!G25:H25)</f>
        <v>6100</v>
      </c>
      <c r="H100" s="133">
        <f t="shared" si="6"/>
        <v>100</v>
      </c>
    </row>
    <row r="101" spans="1:14" s="151" customFormat="1" ht="14.25" customHeight="1" x14ac:dyDescent="0.2">
      <c r="A101" s="134"/>
      <c r="B101" s="136" t="s">
        <v>334</v>
      </c>
      <c r="C101" s="136">
        <v>584</v>
      </c>
      <c r="D101" s="153"/>
      <c r="E101" s="137">
        <f>SUM('[7]18'!G26:H26)</f>
        <v>1000</v>
      </c>
      <c r="F101" s="137">
        <f>SUM('[7]18'!J35)</f>
        <v>1000</v>
      </c>
      <c r="G101" s="137">
        <f>SUM('[7]18'!G26:H26)</f>
        <v>1000</v>
      </c>
      <c r="H101" s="138">
        <f t="shared" si="6"/>
        <v>100</v>
      </c>
    </row>
    <row r="102" spans="1:14" s="147" customFormat="1" ht="18" customHeight="1" x14ac:dyDescent="0.2">
      <c r="A102" s="161" t="s">
        <v>134</v>
      </c>
      <c r="B102" s="209" t="s">
        <v>433</v>
      </c>
      <c r="C102" s="536">
        <v>591</v>
      </c>
      <c r="D102" s="211"/>
      <c r="E102" s="164"/>
      <c r="F102" s="164"/>
      <c r="G102" s="164">
        <f>SUM('[7]18'!G38:H38)</f>
        <v>22086</v>
      </c>
      <c r="H102" s="165"/>
    </row>
    <row r="103" spans="1:14" ht="15" customHeight="1" x14ac:dyDescent="0.2">
      <c r="A103" s="135" t="s">
        <v>134</v>
      </c>
      <c r="B103" s="396" t="s">
        <v>434</v>
      </c>
      <c r="C103" s="188"/>
      <c r="D103" s="189"/>
      <c r="E103" s="184">
        <f>SUM(E104:E105)</f>
        <v>10690</v>
      </c>
      <c r="F103" s="184">
        <f>SUM(F104:F105)</f>
        <v>11690</v>
      </c>
      <c r="G103" s="184">
        <f>SUM(G104:G105)</f>
        <v>25690</v>
      </c>
      <c r="H103" s="185">
        <f t="shared" ref="H103:H109" si="10">G103/E103*100</f>
        <v>240.31805425631433</v>
      </c>
    </row>
    <row r="104" spans="1:14" s="151" customFormat="1" ht="43.5" customHeight="1" x14ac:dyDescent="0.2">
      <c r="A104" s="202" t="s">
        <v>135</v>
      </c>
      <c r="B104" s="131" t="s">
        <v>435</v>
      </c>
      <c r="C104" s="131">
        <v>415</v>
      </c>
      <c r="D104" s="140"/>
      <c r="E104" s="132">
        <f>SUM('[7]18'!I63)</f>
        <v>6690</v>
      </c>
      <c r="F104" s="132">
        <f>SUM('[7]18'!J63:J64)</f>
        <v>6690</v>
      </c>
      <c r="G104" s="132">
        <f>SUM([9]rekapitulace!$G$109)</f>
        <v>10690</v>
      </c>
      <c r="H104" s="133">
        <f t="shared" si="10"/>
        <v>159.79073243647235</v>
      </c>
    </row>
    <row r="105" spans="1:14" s="151" customFormat="1" ht="26.25" customHeight="1" x14ac:dyDescent="0.2">
      <c r="A105" s="141"/>
      <c r="B105" s="131" t="s">
        <v>436</v>
      </c>
      <c r="C105" s="131">
        <v>416</v>
      </c>
      <c r="D105" s="140"/>
      <c r="E105" s="132">
        <f>SUM('[7]18'!I66)</f>
        <v>4000</v>
      </c>
      <c r="F105" s="132">
        <f>SUM('[7]18'!J66)</f>
        <v>5000</v>
      </c>
      <c r="G105" s="132">
        <f>SUM([9]rekapitulace!$G$110)</f>
        <v>15000</v>
      </c>
      <c r="H105" s="133">
        <f t="shared" si="10"/>
        <v>375</v>
      </c>
    </row>
    <row r="106" spans="1:14" ht="27.75" customHeight="1" x14ac:dyDescent="0.2">
      <c r="A106" s="203" t="s">
        <v>134</v>
      </c>
      <c r="B106" s="166" t="s">
        <v>437</v>
      </c>
      <c r="C106" s="149"/>
      <c r="D106" s="150"/>
      <c r="E106" s="128">
        <f>SUM(E107:E108)</f>
        <v>3500</v>
      </c>
      <c r="F106" s="128">
        <f t="shared" ref="F106:G106" si="11">SUM(F107:F108)</f>
        <v>3766</v>
      </c>
      <c r="G106" s="128">
        <f t="shared" si="11"/>
        <v>3500</v>
      </c>
      <c r="H106" s="129">
        <f t="shared" si="10"/>
        <v>100</v>
      </c>
      <c r="I106" s="147"/>
      <c r="J106" s="147"/>
      <c r="K106" s="147"/>
    </row>
    <row r="107" spans="1:14" s="151" customFormat="1" ht="28.5" customHeight="1" x14ac:dyDescent="0.2">
      <c r="A107" s="141"/>
      <c r="B107" s="131" t="s">
        <v>438</v>
      </c>
      <c r="C107" s="140">
        <v>425</v>
      </c>
      <c r="D107" s="140"/>
      <c r="E107" s="132">
        <f>SUM('[7]18'!I52)</f>
        <v>2000</v>
      </c>
      <c r="F107" s="132">
        <f>SUM('[7]18'!J52)</f>
        <v>2216</v>
      </c>
      <c r="G107" s="132">
        <f>SUM('[7]18'!G48:H48)</f>
        <v>2000</v>
      </c>
      <c r="H107" s="133">
        <f t="shared" si="10"/>
        <v>100</v>
      </c>
    </row>
    <row r="108" spans="1:14" s="151" customFormat="1" ht="29.25" customHeight="1" thickBot="1" x14ac:dyDescent="0.25">
      <c r="A108" s="154"/>
      <c r="B108" s="155" t="s">
        <v>439</v>
      </c>
      <c r="C108" s="156">
        <v>426</v>
      </c>
      <c r="D108" s="156"/>
      <c r="E108" s="132">
        <f>SUM('[7]18'!I53)</f>
        <v>1500</v>
      </c>
      <c r="F108" s="132">
        <f>SUM('[7]18'!J53)</f>
        <v>1550</v>
      </c>
      <c r="G108" s="157">
        <f>SUM('[7]18'!G49:H49)</f>
        <v>1500</v>
      </c>
      <c r="H108" s="133">
        <f t="shared" si="10"/>
        <v>100</v>
      </c>
    </row>
    <row r="109" spans="1:14" s="204" customFormat="1" ht="24" customHeight="1" thickBot="1" x14ac:dyDescent="0.3">
      <c r="A109" s="409" t="s">
        <v>144</v>
      </c>
      <c r="B109" s="538"/>
      <c r="C109" s="538"/>
      <c r="D109" s="538"/>
      <c r="E109" s="410">
        <f>SUM(E6,E19,E32,E38,E47,E51,E80,E95)</f>
        <v>425460</v>
      </c>
      <c r="F109" s="410">
        <f>SUM(F6,F19,F32,F38,F47,F51,F80,F95)</f>
        <v>463083</v>
      </c>
      <c r="G109" s="410">
        <f>SUM(G6,G19,G32,G38,G47,G51,G80,G95)</f>
        <v>558015</v>
      </c>
      <c r="H109" s="411">
        <f t="shared" si="10"/>
        <v>131.15569031166268</v>
      </c>
    </row>
    <row r="110" spans="1:14" ht="15.75" thickTop="1" thickBot="1" x14ac:dyDescent="0.25">
      <c r="A110" s="412"/>
      <c r="B110" s="189"/>
      <c r="C110" s="189"/>
      <c r="D110" s="189"/>
      <c r="E110" s="189"/>
      <c r="F110" s="343"/>
      <c r="G110" s="343"/>
      <c r="H110" s="413"/>
    </row>
    <row r="111" spans="1:14" s="112" customFormat="1" ht="18" customHeight="1" x14ac:dyDescent="0.25">
      <c r="A111" s="414" t="s">
        <v>145</v>
      </c>
      <c r="B111" s="415"/>
      <c r="C111" s="205"/>
      <c r="D111" s="206"/>
      <c r="E111" s="206"/>
      <c r="F111" s="206"/>
      <c r="G111" s="206"/>
      <c r="H111" s="207"/>
      <c r="I111" s="113"/>
      <c r="J111" s="113"/>
      <c r="K111" s="113"/>
      <c r="L111" s="113"/>
      <c r="M111" s="113"/>
      <c r="N111" s="113"/>
    </row>
    <row r="112" spans="1:14" s="52" customFormat="1" ht="18" customHeight="1" thickBot="1" x14ac:dyDescent="0.25">
      <c r="A112" s="208" t="s">
        <v>134</v>
      </c>
      <c r="B112" s="209" t="s">
        <v>146</v>
      </c>
      <c r="C112" s="210">
        <v>401</v>
      </c>
      <c r="D112" s="211"/>
      <c r="E112" s="164">
        <f>SUM('[7]07 - ID'!E12)</f>
        <v>128084</v>
      </c>
      <c r="F112" s="164">
        <f>SUM('[7]07 - ID'!F94)</f>
        <v>378049.6</v>
      </c>
      <c r="G112" s="164">
        <f>SUM('[7]07 - ID'!G12,'[7]07 - ID'!G78)</f>
        <v>194291</v>
      </c>
      <c r="H112" s="212">
        <f>G112/E112*100</f>
        <v>151.6902969925986</v>
      </c>
      <c r="I112" s="213"/>
      <c r="J112" s="213"/>
      <c r="K112" s="213"/>
    </row>
    <row r="113" spans="1:10" s="204" customFormat="1" ht="24" customHeight="1" thickBot="1" x14ac:dyDescent="0.3">
      <c r="A113" s="214" t="s">
        <v>144</v>
      </c>
      <c r="B113" s="215"/>
      <c r="C113" s="215"/>
      <c r="D113" s="215"/>
      <c r="E113" s="200">
        <f>SUM(E112)</f>
        <v>128084</v>
      </c>
      <c r="F113" s="200">
        <f t="shared" ref="F113:G113" si="12">SUM(F112)</f>
        <v>378049.6</v>
      </c>
      <c r="G113" s="200">
        <f t="shared" si="12"/>
        <v>194291</v>
      </c>
      <c r="H113" s="216">
        <f>G113/E113*100</f>
        <v>151.6902969925986</v>
      </c>
    </row>
    <row r="114" spans="1:10" ht="15.75" customHeight="1" thickBot="1" x14ac:dyDescent="0.25"/>
    <row r="115" spans="1:10" s="204" customFormat="1" ht="24" customHeight="1" thickBot="1" x14ac:dyDescent="0.3">
      <c r="A115" s="214" t="s">
        <v>144</v>
      </c>
      <c r="B115" s="215"/>
      <c r="C115" s="215"/>
      <c r="D115" s="215"/>
      <c r="E115" s="200">
        <f>SUM(E109,E113)</f>
        <v>553544</v>
      </c>
      <c r="F115" s="200">
        <f>SUM(F109,F113)</f>
        <v>841132.6</v>
      </c>
      <c r="G115" s="200">
        <f>SUM(G109,G113)</f>
        <v>752306</v>
      </c>
      <c r="H115" s="216">
        <f>G115/E115*100</f>
        <v>135.90717269087912</v>
      </c>
      <c r="J115" s="845">
        <f>G115-E115</f>
        <v>198762</v>
      </c>
    </row>
    <row r="116" spans="1:10" x14ac:dyDescent="0.2">
      <c r="A116" s="119"/>
      <c r="B116" s="119"/>
      <c r="C116" s="119"/>
      <c r="D116" s="119"/>
      <c r="E116" s="119"/>
      <c r="F116" s="217"/>
      <c r="G116" s="217"/>
      <c r="H116" s="645"/>
    </row>
    <row r="117" spans="1:10" ht="15" customHeight="1" x14ac:dyDescent="0.2">
      <c r="A117" s="119"/>
      <c r="B117" s="313" t="s">
        <v>209</v>
      </c>
      <c r="C117" s="119"/>
      <c r="D117" s="119"/>
      <c r="E117" s="119"/>
      <c r="F117" s="217"/>
      <c r="G117" s="217"/>
      <c r="H117" s="645"/>
    </row>
    <row r="118" spans="1:10" x14ac:dyDescent="0.2">
      <c r="A118" s="119"/>
      <c r="B118" s="903" t="s">
        <v>232</v>
      </c>
      <c r="C118" s="903"/>
      <c r="D118" s="903"/>
      <c r="E118" s="418">
        <f>'[7]08'!E70+'[7]09'!E40+'[7]10'!E57+'[7]11'!E48+'[7]12'!E34+'[7]13'!E189+'[7]14'!E59+'[7]18'!E73+'[7]07 - ID'!E92</f>
        <v>467294</v>
      </c>
      <c r="F118" s="418">
        <f>'[7]08'!F70+'[7]09'!F40+'[7]10'!F57+'[7]11'!F48+'[7]12'!F34+'[7]13'!F189+'[7]14'!F59+'[7]18'!F73+'[7]07 - ID'!F92</f>
        <v>528874.55000000005</v>
      </c>
      <c r="G118" s="418">
        <f>'[7]08'!G70+'[7]09'!G40+'[7]10'!G57+'[7]11'!G48+'[7]12'!G34+'[7]13'!G189+'[7]14'!G59+'[7]18'!G73+'[7]07 - ID'!G92</f>
        <v>542531</v>
      </c>
      <c r="H118" s="419">
        <f>G118/E118*100</f>
        <v>116.10057051877405</v>
      </c>
    </row>
    <row r="119" spans="1:10" ht="15" thickBot="1" x14ac:dyDescent="0.25">
      <c r="A119" s="119"/>
      <c r="B119" s="898" t="s">
        <v>233</v>
      </c>
      <c r="C119" s="898"/>
      <c r="D119" s="898"/>
      <c r="E119" s="420">
        <f>'[7]08'!E71+'[7]09'!E41+'[7]10'!E58+'[7]11'!E49+'[7]12'!E35+'[7]13'!E190+'[7]14'!E60+'[7]18'!E74+'[7]07 - ID'!E93</f>
        <v>86250</v>
      </c>
      <c r="F119" s="420">
        <f>'[7]08'!F71+'[7]09'!F41+'[7]10'!F58+'[7]11'!F49+'[7]12'!F35+'[7]13'!F190+'[7]14'!F60+'[7]18'!F74+'[7]07 - ID'!F93</f>
        <v>312258.05</v>
      </c>
      <c r="G119" s="420">
        <f>'[7]08'!G71+'[7]09'!G41+'[7]10'!G58+'[7]11'!G49+'[7]12'!G35+'[7]13'!G190+'[7]14'!G60+'[7]18'!G74+'[7]07 - ID'!G93</f>
        <v>194775</v>
      </c>
      <c r="H119" s="421">
        <f t="shared" ref="H119:H120" si="13">G119/E119*100</f>
        <v>225.82608695652175</v>
      </c>
    </row>
    <row r="120" spans="1:10" s="204" customFormat="1" ht="15.75" thickBot="1" x14ac:dyDescent="0.3">
      <c r="B120" s="899" t="s">
        <v>210</v>
      </c>
      <c r="C120" s="900"/>
      <c r="D120" s="900"/>
      <c r="E120" s="200">
        <f>SUM(E118:E119)</f>
        <v>553544</v>
      </c>
      <c r="F120" s="200">
        <f>SUM(F118:F119)</f>
        <v>841132.60000000009</v>
      </c>
      <c r="G120" s="200">
        <f t="shared" ref="G120" si="14">SUM(G118:G119)</f>
        <v>737306</v>
      </c>
      <c r="H120" s="216">
        <f t="shared" si="13"/>
        <v>133.19736100472593</v>
      </c>
    </row>
    <row r="121" spans="1:10" x14ac:dyDescent="0.2">
      <c r="A121" s="119"/>
      <c r="B121" s="119"/>
      <c r="C121" s="119"/>
      <c r="D121" s="119"/>
      <c r="E121" s="119"/>
      <c r="F121" s="217"/>
      <c r="G121" s="217"/>
      <c r="H121" s="645"/>
    </row>
    <row r="122" spans="1:10" x14ac:dyDescent="0.2">
      <c r="A122" s="119"/>
      <c r="B122" s="119"/>
      <c r="C122" s="119"/>
      <c r="D122" s="119"/>
      <c r="E122" s="119"/>
      <c r="F122" s="217"/>
      <c r="G122" s="217"/>
      <c r="H122" s="645"/>
    </row>
    <row r="123" spans="1:10" x14ac:dyDescent="0.2">
      <c r="A123" s="119"/>
      <c r="B123" s="119"/>
      <c r="C123" s="119"/>
      <c r="D123" s="119"/>
      <c r="E123" s="119"/>
      <c r="F123" s="217"/>
      <c r="G123" s="217"/>
      <c r="H123" s="645"/>
    </row>
    <row r="124" spans="1:10" x14ac:dyDescent="0.2">
      <c r="A124" s="119"/>
      <c r="B124" s="119"/>
      <c r="C124" s="119"/>
      <c r="D124" s="119"/>
      <c r="E124" s="119"/>
      <c r="F124" s="217"/>
      <c r="G124" s="217"/>
      <c r="H124" s="645"/>
    </row>
    <row r="125" spans="1:10" x14ac:dyDescent="0.2">
      <c r="A125" s="119"/>
      <c r="B125" s="119"/>
      <c r="C125" s="119"/>
      <c r="D125" s="119"/>
      <c r="E125" s="119"/>
      <c r="F125" s="217"/>
      <c r="G125" s="217"/>
      <c r="H125" s="645"/>
    </row>
    <row r="126" spans="1:10" x14ac:dyDescent="0.2">
      <c r="A126" s="119"/>
      <c r="B126" s="119"/>
      <c r="C126" s="119"/>
      <c r="D126" s="119"/>
      <c r="E126" s="119"/>
      <c r="F126" s="217"/>
      <c r="G126" s="217"/>
      <c r="H126" s="645"/>
    </row>
    <row r="127" spans="1:10" x14ac:dyDescent="0.2">
      <c r="A127" s="119"/>
      <c r="B127" s="119"/>
      <c r="C127" s="119"/>
      <c r="D127" s="119"/>
      <c r="E127" s="119"/>
      <c r="F127" s="217"/>
      <c r="G127" s="217"/>
      <c r="H127" s="645"/>
    </row>
    <row r="128" spans="1:10" x14ac:dyDescent="0.2">
      <c r="A128" s="119"/>
      <c r="B128" s="119"/>
      <c r="C128" s="119"/>
      <c r="D128" s="119"/>
      <c r="E128" s="119"/>
      <c r="F128" s="217"/>
      <c r="G128" s="217"/>
      <c r="H128" s="645"/>
    </row>
    <row r="129" spans="1:8" x14ac:dyDescent="0.2">
      <c r="A129" s="119"/>
      <c r="B129" s="119"/>
      <c r="C129" s="119"/>
      <c r="D129" s="119"/>
      <c r="E129" s="119"/>
      <c r="F129" s="217"/>
      <c r="G129" s="217"/>
      <c r="H129" s="645"/>
    </row>
    <row r="130" spans="1:8" x14ac:dyDescent="0.2">
      <c r="A130" s="119"/>
      <c r="B130" s="119"/>
      <c r="C130" s="119"/>
      <c r="D130" s="119"/>
      <c r="E130" s="119"/>
      <c r="F130" s="217"/>
      <c r="G130" s="217"/>
      <c r="H130" s="645"/>
    </row>
  </sheetData>
  <mergeCells count="4">
    <mergeCell ref="B119:D119"/>
    <mergeCell ref="B120:D120"/>
    <mergeCell ref="A5:B5"/>
    <mergeCell ref="B118:D1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5" firstPageNumber="11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  <rowBreaks count="1" manualBreakCount="1">
    <brk id="6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2:K109"/>
  <sheetViews>
    <sheetView showGridLines="0" view="pageBreakPreview" topLeftCell="A81" zoomScaleNormal="90" zoomScaleSheetLayoutView="100" workbookViewId="0">
      <selection activeCell="F6" sqref="F6:F7"/>
    </sheetView>
  </sheetViews>
  <sheetFormatPr defaultColWidth="9.140625" defaultRowHeight="12.75" x14ac:dyDescent="0.2"/>
  <cols>
    <col min="1" max="1" width="64.7109375" style="422" customWidth="1"/>
    <col min="2" max="2" width="7.140625" style="423" customWidth="1"/>
    <col min="3" max="3" width="7.85546875" style="423" customWidth="1"/>
    <col min="4" max="4" width="15.7109375" style="423" hidden="1" customWidth="1"/>
    <col min="5" max="6" width="20.7109375" style="422" customWidth="1"/>
    <col min="7" max="7" width="33.140625" style="422" hidden="1" customWidth="1"/>
    <col min="8" max="8" width="20.7109375" style="462" customWidth="1"/>
    <col min="9" max="10" width="20.7109375" style="422" customWidth="1"/>
    <col min="11" max="11" width="12.7109375" style="422" hidden="1" customWidth="1"/>
    <col min="12" max="13" width="2.85546875" style="422" customWidth="1"/>
    <col min="14" max="16384" width="9.140625" style="422"/>
  </cols>
  <sheetData>
    <row r="2" spans="1:11" s="462" customFormat="1" ht="20.25" x14ac:dyDescent="0.3">
      <c r="A2" s="218" t="s">
        <v>446</v>
      </c>
      <c r="B2" s="424"/>
      <c r="C2" s="219"/>
      <c r="D2" s="219"/>
      <c r="E2" s="218"/>
      <c r="F2" s="220"/>
      <c r="G2" s="220"/>
      <c r="H2" s="221"/>
      <c r="I2" s="222"/>
      <c r="J2" s="646"/>
      <c r="K2" s="646"/>
    </row>
    <row r="3" spans="1:11" s="462" customFormat="1" ht="15.75" x14ac:dyDescent="0.25">
      <c r="A3" s="223" t="s">
        <v>189</v>
      </c>
      <c r="B3" s="425"/>
      <c r="C3" s="219"/>
      <c r="D3" s="219"/>
      <c r="E3" s="223"/>
      <c r="F3" s="220"/>
      <c r="G3" s="220"/>
      <c r="H3" s="224"/>
      <c r="I3" s="222"/>
      <c r="J3" s="647"/>
      <c r="K3" s="647"/>
    </row>
    <row r="4" spans="1:11" s="462" customFormat="1" ht="13.5" thickBot="1" x14ac:dyDescent="0.25">
      <c r="B4" s="601"/>
      <c r="C4" s="601"/>
      <c r="D4" s="601"/>
      <c r="F4" s="220"/>
      <c r="G4" s="220"/>
      <c r="H4" s="648"/>
      <c r="I4" s="917" t="s">
        <v>0</v>
      </c>
      <c r="J4" s="917"/>
      <c r="K4" s="648"/>
    </row>
    <row r="5" spans="1:11" s="462" customFormat="1" ht="26.1" customHeight="1" x14ac:dyDescent="0.25">
      <c r="A5" s="225"/>
      <c r="B5" s="426"/>
      <c r="C5" s="226"/>
      <c r="D5" s="227">
        <v>2015</v>
      </c>
      <c r="E5" s="912">
        <v>2024</v>
      </c>
      <c r="F5" s="913"/>
      <c r="G5" s="914"/>
      <c r="H5" s="540">
        <v>2025</v>
      </c>
      <c r="I5" s="912" t="s">
        <v>335</v>
      </c>
      <c r="J5" s="918"/>
    </row>
    <row r="6" spans="1:11" s="462" customFormat="1" ht="12.75" customHeight="1" x14ac:dyDescent="0.2">
      <c r="A6" s="904" t="s">
        <v>147</v>
      </c>
      <c r="B6" s="906" t="s">
        <v>119</v>
      </c>
      <c r="C6" s="906" t="s">
        <v>133</v>
      </c>
      <c r="D6" s="908" t="s">
        <v>148</v>
      </c>
      <c r="E6" s="910" t="s">
        <v>149</v>
      </c>
      <c r="F6" s="919" t="s">
        <v>441</v>
      </c>
      <c r="G6" s="921" t="s">
        <v>150</v>
      </c>
      <c r="H6" s="923" t="s">
        <v>151</v>
      </c>
      <c r="I6" s="924" t="s">
        <v>280</v>
      </c>
      <c r="J6" s="926" t="s">
        <v>152</v>
      </c>
    </row>
    <row r="7" spans="1:11" s="462" customFormat="1" ht="34.5" customHeight="1" thickBot="1" x14ac:dyDescent="0.25">
      <c r="A7" s="905"/>
      <c r="B7" s="907"/>
      <c r="C7" s="907"/>
      <c r="D7" s="909"/>
      <c r="E7" s="911"/>
      <c r="F7" s="920"/>
      <c r="G7" s="922"/>
      <c r="H7" s="909"/>
      <c r="I7" s="925"/>
      <c r="J7" s="927"/>
    </row>
    <row r="8" spans="1:11" s="462" customFormat="1" ht="14.25" thickTop="1" thickBot="1" x14ac:dyDescent="0.25">
      <c r="A8" s="228"/>
      <c r="B8" s="427"/>
      <c r="C8" s="649"/>
      <c r="D8" s="229" t="s">
        <v>153</v>
      </c>
      <c r="E8" s="230" t="s">
        <v>153</v>
      </c>
      <c r="F8" s="428" t="s">
        <v>154</v>
      </c>
      <c r="G8" s="232" t="s">
        <v>155</v>
      </c>
      <c r="H8" s="229" t="s">
        <v>156</v>
      </c>
      <c r="I8" s="233" t="s">
        <v>157</v>
      </c>
      <c r="J8" s="234" t="s">
        <v>158</v>
      </c>
    </row>
    <row r="9" spans="1:11" s="462" customFormat="1" ht="24.95" customHeight="1" x14ac:dyDescent="0.2">
      <c r="A9" s="235" t="s">
        <v>159</v>
      </c>
      <c r="B9" s="429" t="s">
        <v>224</v>
      </c>
      <c r="C9" s="236"/>
      <c r="D9" s="237" t="e">
        <f>SUM(D10:D16)</f>
        <v>#REF!</v>
      </c>
      <c r="E9" s="241">
        <f>SUM(E10:E16)</f>
        <v>508799</v>
      </c>
      <c r="F9" s="279">
        <f>SUM(F10:F16)</f>
        <v>512972</v>
      </c>
      <c r="G9" s="239">
        <f>SUM(G10:G16)</f>
        <v>363748</v>
      </c>
      <c r="H9" s="240">
        <f>SUM(H10:H16)</f>
        <v>531347</v>
      </c>
      <c r="I9" s="241">
        <f t="shared" ref="I9:I35" si="0">H9-E9</f>
        <v>22548</v>
      </c>
      <c r="J9" s="242">
        <f t="shared" ref="J9:J35" si="1">H9/E9-1</f>
        <v>4.4316124835150905E-2</v>
      </c>
      <c r="K9" s="650"/>
    </row>
    <row r="10" spans="1:11" s="462" customFormat="1" ht="17.100000000000001" customHeight="1" x14ac:dyDescent="0.2">
      <c r="A10" s="243" t="s">
        <v>160</v>
      </c>
      <c r="B10" s="651"/>
      <c r="C10" s="244" t="s">
        <v>161</v>
      </c>
      <c r="D10" s="245">
        <f>SUM('[10]Celkem školství'!C12)</f>
        <v>275519</v>
      </c>
      <c r="E10" s="249">
        <f>SUM('[10]Celkem školství'!D12)</f>
        <v>220003</v>
      </c>
      <c r="F10" s="650">
        <f>'[10]Celkem školství'!E12</f>
        <v>219152</v>
      </c>
      <c r="G10" s="247">
        <v>277306</v>
      </c>
      <c r="H10" s="248">
        <f>SUM('[10]Celkem školství'!F12)</f>
        <v>232061</v>
      </c>
      <c r="I10" s="249">
        <f>H10-E10</f>
        <v>12058</v>
      </c>
      <c r="J10" s="250">
        <f>H10/E10-1</f>
        <v>5.4808343522588343E-2</v>
      </c>
      <c r="K10" s="650"/>
    </row>
    <row r="11" spans="1:11" s="462" customFormat="1" ht="17.100000000000001" customHeight="1" x14ac:dyDescent="0.2">
      <c r="A11" s="243" t="s">
        <v>336</v>
      </c>
      <c r="B11" s="651"/>
      <c r="C11" s="244" t="s">
        <v>162</v>
      </c>
      <c r="D11" s="245">
        <f>SUM('[10]Celkem školství'!C13)</f>
        <v>1399</v>
      </c>
      <c r="E11" s="249">
        <f>SUM('[10]Celkem školství'!D13)</f>
        <v>1931</v>
      </c>
      <c r="F11" s="650">
        <f>'[10]Celkem školství'!E13</f>
        <v>1971</v>
      </c>
      <c r="G11" s="247">
        <v>1873</v>
      </c>
      <c r="H11" s="248">
        <f>SUM('[10]Celkem školství'!F13)</f>
        <v>2057</v>
      </c>
      <c r="I11" s="249">
        <f t="shared" ref="I11:I16" si="2">H11-E11</f>
        <v>126</v>
      </c>
      <c r="J11" s="250">
        <f>H11/E11-1</f>
        <v>6.5251165199378569E-2</v>
      </c>
      <c r="K11" s="650"/>
    </row>
    <row r="12" spans="1:11" s="462" customFormat="1" ht="17.100000000000001" customHeight="1" x14ac:dyDescent="0.2">
      <c r="A12" s="243" t="s">
        <v>337</v>
      </c>
      <c r="B12" s="651"/>
      <c r="C12" s="244" t="s">
        <v>163</v>
      </c>
      <c r="D12" s="245">
        <f>SUM('[10]Celkem školství'!C14)</f>
        <v>74889</v>
      </c>
      <c r="E12" s="249">
        <f>SUM('[10]Celkem školství'!D14)</f>
        <v>90909</v>
      </c>
      <c r="F12" s="650">
        <f>'[10]Celkem školství'!E14</f>
        <v>90909</v>
      </c>
      <c r="G12" s="247">
        <v>80875</v>
      </c>
      <c r="H12" s="248">
        <f>SUM('[10]Celkem školství'!F14)</f>
        <v>100118</v>
      </c>
      <c r="I12" s="249">
        <f t="shared" si="2"/>
        <v>9209</v>
      </c>
      <c r="J12" s="250">
        <f>H12/E12-1</f>
        <v>0.10129910129910136</v>
      </c>
      <c r="K12" s="650"/>
    </row>
    <row r="13" spans="1:11" s="462" customFormat="1" ht="17.100000000000001" customHeight="1" x14ac:dyDescent="0.2">
      <c r="A13" s="251" t="s">
        <v>338</v>
      </c>
      <c r="B13" s="652"/>
      <c r="C13" s="252" t="s">
        <v>164</v>
      </c>
      <c r="D13" s="245">
        <f>SUM('[10]Celkem školství'!C15)</f>
        <v>222</v>
      </c>
      <c r="E13" s="249">
        <f>SUM('[10]Celkem školství'!D15)</f>
        <v>750</v>
      </c>
      <c r="F13" s="650">
        <f>'[10]Celkem školství'!E15</f>
        <v>5492</v>
      </c>
      <c r="G13" s="247">
        <v>3555</v>
      </c>
      <c r="H13" s="248">
        <f>SUM('[10]Celkem školství'!F15)</f>
        <v>5008</v>
      </c>
      <c r="I13" s="249">
        <f t="shared" si="2"/>
        <v>4258</v>
      </c>
      <c r="J13" s="250">
        <f>H13/E13-1</f>
        <v>5.6773333333333333</v>
      </c>
      <c r="K13" s="650"/>
    </row>
    <row r="14" spans="1:11" s="462" customFormat="1" ht="17.100000000000001" customHeight="1" x14ac:dyDescent="0.2">
      <c r="A14" s="243" t="s">
        <v>339</v>
      </c>
      <c r="B14" s="651"/>
      <c r="C14" s="244" t="s">
        <v>314</v>
      </c>
      <c r="D14" s="245" t="e">
        <f>SUM('[10]Celkem školství'!#REF!)</f>
        <v>#REF!</v>
      </c>
      <c r="E14" s="249">
        <f>SUM('[10]Celkem školství'!D16)</f>
        <v>76945</v>
      </c>
      <c r="F14" s="650">
        <f>'[10]Celkem školství'!E16</f>
        <v>76945</v>
      </c>
      <c r="G14" s="247">
        <v>139</v>
      </c>
      <c r="H14" s="248">
        <f>SUM('[10]Celkem školství'!F16)</f>
        <v>76500</v>
      </c>
      <c r="I14" s="249">
        <f t="shared" si="2"/>
        <v>-445</v>
      </c>
      <c r="J14" s="250">
        <f t="shared" ref="J14:J15" si="3">H14/E14-1</f>
        <v>-5.7833517447527516E-3</v>
      </c>
      <c r="K14" s="650"/>
    </row>
    <row r="15" spans="1:11" s="462" customFormat="1" ht="17.100000000000001" customHeight="1" x14ac:dyDescent="0.2">
      <c r="A15" s="243" t="s">
        <v>340</v>
      </c>
      <c r="B15" s="244"/>
      <c r="C15" s="244" t="s">
        <v>315</v>
      </c>
      <c r="D15" s="245"/>
      <c r="E15" s="249">
        <f>SUM('[10]Celkem školství'!D17)</f>
        <v>71099</v>
      </c>
      <c r="F15" s="650">
        <f>'[10]Celkem školství'!E17</f>
        <v>71099</v>
      </c>
      <c r="G15" s="247"/>
      <c r="H15" s="248">
        <f>SUM('[10]Celkem školství'!F17)</f>
        <v>69618</v>
      </c>
      <c r="I15" s="249">
        <f t="shared" si="2"/>
        <v>-1481</v>
      </c>
      <c r="J15" s="250">
        <f t="shared" si="3"/>
        <v>-2.0830110128131185E-2</v>
      </c>
      <c r="K15" s="650"/>
    </row>
    <row r="16" spans="1:11" s="462" customFormat="1" ht="17.100000000000001" customHeight="1" thickBot="1" x14ac:dyDescent="0.25">
      <c r="A16" s="841" t="s">
        <v>341</v>
      </c>
      <c r="B16" s="244"/>
      <c r="C16" s="244" t="s">
        <v>342</v>
      </c>
      <c r="D16" s="245"/>
      <c r="E16" s="249">
        <f>SUM('[10]Celkem školství'!D18)</f>
        <v>47162</v>
      </c>
      <c r="F16" s="650">
        <f>'[10]Celkem školství'!E18</f>
        <v>47404</v>
      </c>
      <c r="G16" s="247"/>
      <c r="H16" s="248">
        <f>SUM('[10]Celkem školství'!F18)</f>
        <v>45985</v>
      </c>
      <c r="I16" s="249">
        <f t="shared" si="2"/>
        <v>-1177</v>
      </c>
      <c r="J16" s="250">
        <f t="shared" ref="J16" si="4">IF(E16=0,"",H16/E16-1)</f>
        <v>-2.4956532801831965E-2</v>
      </c>
      <c r="K16" s="650"/>
    </row>
    <row r="17" spans="1:11" s="462" customFormat="1" ht="24.95" customHeight="1" x14ac:dyDescent="0.2">
      <c r="A17" s="235" t="s">
        <v>166</v>
      </c>
      <c r="B17" s="429" t="s">
        <v>261</v>
      </c>
      <c r="C17" s="236"/>
      <c r="D17" s="237" t="e">
        <f>SUM(D18:D24)</f>
        <v>#REF!</v>
      </c>
      <c r="E17" s="241">
        <f>SUM(E18:E24)</f>
        <v>431498</v>
      </c>
      <c r="F17" s="279">
        <f>SUM(F18:F24)</f>
        <v>427413</v>
      </c>
      <c r="G17" s="239">
        <f>SUM(G18:G24)</f>
        <v>531124</v>
      </c>
      <c r="H17" s="240">
        <f>SUM(H18:H25)</f>
        <v>402220</v>
      </c>
      <c r="I17" s="241">
        <f t="shared" si="0"/>
        <v>-29278</v>
      </c>
      <c r="J17" s="242">
        <f t="shared" si="1"/>
        <v>-6.7851994679001937E-2</v>
      </c>
      <c r="K17" s="650"/>
    </row>
    <row r="18" spans="1:11" s="462" customFormat="1" ht="17.100000000000001" customHeight="1" x14ac:dyDescent="0.2">
      <c r="A18" s="243" t="s">
        <v>160</v>
      </c>
      <c r="B18" s="651"/>
      <c r="C18" s="244" t="s">
        <v>161</v>
      </c>
      <c r="D18" s="245">
        <f>SUM('[10]Celkem sociální'!C12)</f>
        <v>156471</v>
      </c>
      <c r="E18" s="249">
        <f>SUM('[10]Celkem sociální'!D12)</f>
        <v>7898</v>
      </c>
      <c r="F18" s="650">
        <f>SUM('[10]Celkem sociální'!E12)</f>
        <v>3983</v>
      </c>
      <c r="G18" s="247">
        <v>245205</v>
      </c>
      <c r="H18" s="248">
        <f>SUM('[10]Celkem sociální'!F12)</f>
        <v>23296</v>
      </c>
      <c r="I18" s="249">
        <f t="shared" si="0"/>
        <v>15398</v>
      </c>
      <c r="J18" s="250">
        <f t="shared" si="1"/>
        <v>1.9496074955684985</v>
      </c>
      <c r="K18" s="650"/>
    </row>
    <row r="19" spans="1:11" s="462" customFormat="1" ht="17.100000000000001" customHeight="1" x14ac:dyDescent="0.2">
      <c r="A19" s="243" t="s">
        <v>336</v>
      </c>
      <c r="B19" s="651"/>
      <c r="C19" s="244" t="s">
        <v>162</v>
      </c>
      <c r="D19" s="245"/>
      <c r="E19" s="249">
        <f>SUM('[10]Celkem sociální'!D13)</f>
        <v>308788</v>
      </c>
      <c r="F19" s="650">
        <f>SUM('[10]Celkem sociální'!E13)</f>
        <v>307098</v>
      </c>
      <c r="G19" s="247"/>
      <c r="H19" s="248">
        <f>SUM('[10]Celkem sociální'!F13)</f>
        <v>285919</v>
      </c>
      <c r="I19" s="249">
        <f t="shared" si="0"/>
        <v>-22869</v>
      </c>
      <c r="J19" s="250">
        <f t="shared" si="1"/>
        <v>-7.4060520486547432E-2</v>
      </c>
      <c r="K19" s="650"/>
    </row>
    <row r="20" spans="1:11" s="462" customFormat="1" ht="17.100000000000001" customHeight="1" x14ac:dyDescent="0.2">
      <c r="A20" s="243" t="s">
        <v>337</v>
      </c>
      <c r="B20" s="651"/>
      <c r="C20" s="244" t="s">
        <v>163</v>
      </c>
      <c r="D20" s="245"/>
      <c r="E20" s="249">
        <f>SUM('[10]Celkem sociální'!D14)</f>
        <v>56420</v>
      </c>
      <c r="F20" s="650">
        <f>SUM('[10]Celkem sociální'!E14)</f>
        <v>56420</v>
      </c>
      <c r="G20" s="247"/>
      <c r="H20" s="248">
        <f>SUM('[10]Celkem sociální'!F14)</f>
        <v>60836</v>
      </c>
      <c r="I20" s="249">
        <f>H20-E20</f>
        <v>4416</v>
      </c>
      <c r="J20" s="250">
        <f t="shared" si="1"/>
        <v>7.8270116979794357E-2</v>
      </c>
      <c r="K20" s="650"/>
    </row>
    <row r="21" spans="1:11" s="462" customFormat="1" ht="17.100000000000001" customHeight="1" x14ac:dyDescent="0.2">
      <c r="A21" s="251" t="s">
        <v>338</v>
      </c>
      <c r="B21" s="652"/>
      <c r="C21" s="252" t="s">
        <v>164</v>
      </c>
      <c r="D21" s="245"/>
      <c r="E21" s="249">
        <f>SUM('[10]Celkem sociální'!D15)</f>
        <v>0</v>
      </c>
      <c r="F21" s="650">
        <f>SUM('[10]Celkem sociální'!E15)</f>
        <v>1520</v>
      </c>
      <c r="G21" s="247"/>
      <c r="H21" s="248">
        <f>SUM('[10]Celkem sociální'!F15)</f>
        <v>0</v>
      </c>
      <c r="I21" s="249">
        <f t="shared" si="0"/>
        <v>0</v>
      </c>
      <c r="J21" s="250"/>
      <c r="K21" s="650"/>
    </row>
    <row r="22" spans="1:11" s="462" customFormat="1" ht="17.100000000000001" customHeight="1" x14ac:dyDescent="0.2">
      <c r="A22" s="243" t="s">
        <v>339</v>
      </c>
      <c r="B22" s="651"/>
      <c r="C22" s="244" t="s">
        <v>314</v>
      </c>
      <c r="D22" s="245"/>
      <c r="E22" s="249">
        <f>SUM('[10]Celkem sociální'!D16)</f>
        <v>32406</v>
      </c>
      <c r="F22" s="650">
        <f>SUM('[10]Celkem sociální'!E16)</f>
        <v>32406</v>
      </c>
      <c r="G22" s="247"/>
      <c r="H22" s="248">
        <f>SUM('[10]Celkem sociální'!F16)</f>
        <v>14675</v>
      </c>
      <c r="I22" s="249">
        <f>H22-E22</f>
        <v>-17731</v>
      </c>
      <c r="J22" s="250">
        <f t="shared" si="1"/>
        <v>-0.5471517620193791</v>
      </c>
      <c r="K22" s="650"/>
    </row>
    <row r="23" spans="1:11" s="462" customFormat="1" ht="17.100000000000001" customHeight="1" x14ac:dyDescent="0.2">
      <c r="A23" s="243" t="s">
        <v>340</v>
      </c>
      <c r="B23" s="244"/>
      <c r="C23" s="244" t="s">
        <v>315</v>
      </c>
      <c r="D23" s="245"/>
      <c r="E23" s="249">
        <f>SUM('[10]Celkem sociální'!D17)</f>
        <v>25017</v>
      </c>
      <c r="F23" s="650">
        <f>SUM('[10]Celkem sociální'!E17)</f>
        <v>25017</v>
      </c>
      <c r="G23" s="247"/>
      <c r="H23" s="248">
        <f>SUM('[10]Celkem sociální'!F17)</f>
        <v>12603</v>
      </c>
      <c r="I23" s="249">
        <f>H23-E23</f>
        <v>-12414</v>
      </c>
      <c r="J23" s="250">
        <f t="shared" si="1"/>
        <v>-0.49622256865331571</v>
      </c>
      <c r="K23" s="650"/>
    </row>
    <row r="24" spans="1:11" s="462" customFormat="1" ht="17.100000000000001" customHeight="1" x14ac:dyDescent="0.2">
      <c r="A24" s="653" t="s">
        <v>341</v>
      </c>
      <c r="B24" s="244"/>
      <c r="C24" s="244" t="s">
        <v>342</v>
      </c>
      <c r="D24" s="245" t="e">
        <f>SUM('[10]Celkem sociální'!#REF!)</f>
        <v>#REF!</v>
      </c>
      <c r="E24" s="249">
        <f>SUM('[10]Celkem sociální'!D18)</f>
        <v>969</v>
      </c>
      <c r="F24" s="650">
        <f>SUM('[10]Celkem sociální'!E18)</f>
        <v>969</v>
      </c>
      <c r="G24" s="245">
        <f>SUM('[10]Celkem sociální'!F13)</f>
        <v>285919</v>
      </c>
      <c r="H24" s="248">
        <f>SUM('[10]Celkem sociální'!F18)</f>
        <v>366</v>
      </c>
      <c r="I24" s="249">
        <f t="shared" si="0"/>
        <v>-603</v>
      </c>
      <c r="J24" s="250">
        <f t="shared" si="1"/>
        <v>-0.62229102167182671</v>
      </c>
      <c r="K24" s="650"/>
    </row>
    <row r="25" spans="1:11" s="462" customFormat="1" ht="17.100000000000001" customHeight="1" thickBot="1" x14ac:dyDescent="0.25">
      <c r="A25" s="654" t="s">
        <v>442</v>
      </c>
      <c r="B25" s="244"/>
      <c r="C25" s="244" t="s">
        <v>261</v>
      </c>
      <c r="D25" s="245"/>
      <c r="E25" s="249"/>
      <c r="F25" s="650"/>
      <c r="G25" s="245"/>
      <c r="H25" s="248">
        <f>'[10]Celkem sociální'!F19</f>
        <v>4525</v>
      </c>
      <c r="I25" s="249">
        <f t="shared" si="0"/>
        <v>4525</v>
      </c>
      <c r="J25" s="250"/>
      <c r="K25" s="650"/>
    </row>
    <row r="26" spans="1:11" s="253" customFormat="1" ht="21" customHeight="1" x14ac:dyDescent="0.2">
      <c r="A26" s="235" t="s">
        <v>167</v>
      </c>
      <c r="B26" s="429" t="s">
        <v>262</v>
      </c>
      <c r="C26" s="236"/>
      <c r="D26" s="237" t="e">
        <f>SUM(D27,D35)</f>
        <v>#REF!</v>
      </c>
      <c r="E26" s="241">
        <f>SUM(E27,E35)</f>
        <v>2726931</v>
      </c>
      <c r="F26" s="279">
        <f>SUM(F27,F35)</f>
        <v>2869846</v>
      </c>
      <c r="G26" s="239">
        <f>G27+G35</f>
        <v>1399141</v>
      </c>
      <c r="H26" s="240">
        <f>SUM(H27,H35)</f>
        <v>3013740</v>
      </c>
      <c r="I26" s="241">
        <f t="shared" si="0"/>
        <v>286809</v>
      </c>
      <c r="J26" s="242">
        <f t="shared" si="1"/>
        <v>0.10517647861277024</v>
      </c>
      <c r="K26" s="650"/>
    </row>
    <row r="27" spans="1:11" s="253" customFormat="1" ht="18" customHeight="1" x14ac:dyDescent="0.25">
      <c r="A27" s="254" t="s">
        <v>168</v>
      </c>
      <c r="B27" s="655"/>
      <c r="C27" s="244"/>
      <c r="D27" s="255" t="e">
        <f>SUM(D28:D34)</f>
        <v>#REF!</v>
      </c>
      <c r="E27" s="258">
        <f>SUM(E28:E34)</f>
        <v>699931</v>
      </c>
      <c r="F27" s="430">
        <f>SUM(F28:F34)</f>
        <v>772631</v>
      </c>
      <c r="G27" s="256">
        <f>SUM(G28:G34)</f>
        <v>398501</v>
      </c>
      <c r="H27" s="497">
        <f>SUM(H28:H34)</f>
        <v>767740</v>
      </c>
      <c r="I27" s="258">
        <f>H27-E27</f>
        <v>67809</v>
      </c>
      <c r="J27" s="259">
        <f t="shared" si="1"/>
        <v>9.6879549555598965E-2</v>
      </c>
      <c r="K27" s="650"/>
    </row>
    <row r="28" spans="1:11" s="253" customFormat="1" ht="17.100000000000001" customHeight="1" x14ac:dyDescent="0.2">
      <c r="A28" s="243" t="s">
        <v>160</v>
      </c>
      <c r="B28" s="651"/>
      <c r="C28" s="244" t="s">
        <v>161</v>
      </c>
      <c r="D28" s="245" t="e">
        <f>SUM('[10]Celkem doprava'!#REF!)</f>
        <v>#REF!</v>
      </c>
      <c r="E28" s="249">
        <f>SUM('[10]Celkem doprava'!C12)</f>
        <v>232977</v>
      </c>
      <c r="F28" s="650">
        <f>SUM('[10]Celkem doprava'!D12)</f>
        <v>305477</v>
      </c>
      <c r="G28" s="247">
        <v>398501</v>
      </c>
      <c r="H28" s="498">
        <f>SUM('[10]Celkem doprava'!E12)</f>
        <v>257977</v>
      </c>
      <c r="I28" s="249">
        <f>H28-E28</f>
        <v>25000</v>
      </c>
      <c r="J28" s="250">
        <f>H28/E28-1</f>
        <v>0.10730672984886924</v>
      </c>
      <c r="K28" s="650"/>
    </row>
    <row r="29" spans="1:11" s="253" customFormat="1" ht="17.100000000000001" customHeight="1" x14ac:dyDescent="0.2">
      <c r="A29" s="243" t="s">
        <v>336</v>
      </c>
      <c r="B29" s="651"/>
      <c r="C29" s="244" t="s">
        <v>162</v>
      </c>
      <c r="D29" s="245"/>
      <c r="E29" s="249">
        <f>SUM('[10]Celkem doprava'!C13)</f>
        <v>291756</v>
      </c>
      <c r="F29" s="650">
        <f>SUM('[10]Celkem doprava'!D13)</f>
        <v>291756</v>
      </c>
      <c r="G29" s="247"/>
      <c r="H29" s="498">
        <f>SUM('[10]Celkem doprava'!E13)</f>
        <v>295303</v>
      </c>
      <c r="I29" s="249">
        <f t="shared" ref="I29:I34" si="5">H29-E29</f>
        <v>3547</v>
      </c>
      <c r="J29" s="250">
        <f t="shared" ref="J29:J33" si="6">H29/E29-1</f>
        <v>1.2157419213315146E-2</v>
      </c>
      <c r="K29" s="650"/>
    </row>
    <row r="30" spans="1:11" s="253" customFormat="1" ht="17.100000000000001" customHeight="1" x14ac:dyDescent="0.2">
      <c r="A30" s="243" t="s">
        <v>337</v>
      </c>
      <c r="B30" s="651"/>
      <c r="C30" s="244" t="s">
        <v>163</v>
      </c>
      <c r="D30" s="245"/>
      <c r="E30" s="249">
        <f>SUM('[10]Celkem doprava'!C14)</f>
        <v>161988</v>
      </c>
      <c r="F30" s="650">
        <f>SUM('[10]Celkem doprava'!D14)</f>
        <v>161988</v>
      </c>
      <c r="G30" s="247"/>
      <c r="H30" s="498">
        <f>SUM('[10]Celkem doprava'!E14)</f>
        <v>171570</v>
      </c>
      <c r="I30" s="249">
        <f t="shared" si="5"/>
        <v>9582</v>
      </c>
      <c r="J30" s="250">
        <f t="shared" si="6"/>
        <v>5.9152529817023458E-2</v>
      </c>
      <c r="K30" s="650"/>
    </row>
    <row r="31" spans="1:11" s="253" customFormat="1" ht="17.100000000000001" customHeight="1" x14ac:dyDescent="0.2">
      <c r="A31" s="251" t="s">
        <v>338</v>
      </c>
      <c r="B31" s="652"/>
      <c r="C31" s="252" t="s">
        <v>164</v>
      </c>
      <c r="D31" s="245"/>
      <c r="E31" s="249">
        <f>SUM('[10]Celkem doprava'!C15)</f>
        <v>0</v>
      </c>
      <c r="F31" s="650">
        <f>SUM('[10]Celkem doprava'!D15)</f>
        <v>200</v>
      </c>
      <c r="G31" s="247"/>
      <c r="H31" s="498">
        <f>SUM('[10]Celkem doprava'!E15)</f>
        <v>30000</v>
      </c>
      <c r="I31" s="249">
        <f t="shared" si="5"/>
        <v>30000</v>
      </c>
      <c r="J31" s="250"/>
      <c r="K31" s="650"/>
    </row>
    <row r="32" spans="1:11" s="253" customFormat="1" ht="17.100000000000001" customHeight="1" x14ac:dyDescent="0.2">
      <c r="A32" s="243" t="s">
        <v>339</v>
      </c>
      <c r="B32" s="651"/>
      <c r="C32" s="244" t="s">
        <v>314</v>
      </c>
      <c r="D32" s="245"/>
      <c r="E32" s="249">
        <f>SUM('[10]Celkem doprava'!C16)</f>
        <v>5500</v>
      </c>
      <c r="F32" s="650">
        <f>SUM('[10]Celkem doprava'!D16)</f>
        <v>5500</v>
      </c>
      <c r="G32" s="247"/>
      <c r="H32" s="498">
        <f>SUM('[10]Celkem doprava'!E16)</f>
        <v>5500</v>
      </c>
      <c r="I32" s="249">
        <f t="shared" si="5"/>
        <v>0</v>
      </c>
      <c r="J32" s="250">
        <f t="shared" si="6"/>
        <v>0</v>
      </c>
      <c r="K32" s="650"/>
    </row>
    <row r="33" spans="1:11" s="253" customFormat="1" ht="17.100000000000001" customHeight="1" x14ac:dyDescent="0.2">
      <c r="A33" s="243" t="s">
        <v>340</v>
      </c>
      <c r="B33" s="244"/>
      <c r="C33" s="244" t="s">
        <v>315</v>
      </c>
      <c r="D33" s="245"/>
      <c r="E33" s="249">
        <f>SUM('[10]Celkem doprava'!C17)</f>
        <v>5500</v>
      </c>
      <c r="F33" s="650">
        <f>SUM('[10]Celkem doprava'!D17)</f>
        <v>5500</v>
      </c>
      <c r="G33" s="247"/>
      <c r="H33" s="498">
        <f>SUM('[10]Celkem doprava'!E17)</f>
        <v>5480</v>
      </c>
      <c r="I33" s="249">
        <f t="shared" si="5"/>
        <v>-20</v>
      </c>
      <c r="J33" s="250">
        <f t="shared" si="6"/>
        <v>-3.6363636363636598E-3</v>
      </c>
      <c r="K33" s="650"/>
    </row>
    <row r="34" spans="1:11" s="462" customFormat="1" ht="17.100000000000001" customHeight="1" x14ac:dyDescent="0.2">
      <c r="A34" s="841" t="s">
        <v>341</v>
      </c>
      <c r="B34" s="244"/>
      <c r="C34" s="244" t="s">
        <v>342</v>
      </c>
      <c r="D34" s="245"/>
      <c r="E34" s="249">
        <f>'[10]Celkem doprava'!C18</f>
        <v>2210</v>
      </c>
      <c r="F34" s="650">
        <f>SUM('[10]Celkem doprava'!D18)</f>
        <v>2210</v>
      </c>
      <c r="G34" s="247"/>
      <c r="H34" s="498">
        <f>SUM('[10]Celkem doprava'!E18)</f>
        <v>1910</v>
      </c>
      <c r="I34" s="249">
        <f t="shared" si="5"/>
        <v>-300</v>
      </c>
      <c r="J34" s="250"/>
      <c r="K34" s="650"/>
    </row>
    <row r="35" spans="1:11" s="253" customFormat="1" ht="18" customHeight="1" x14ac:dyDescent="0.25">
      <c r="A35" s="254" t="s">
        <v>169</v>
      </c>
      <c r="B35" s="655"/>
      <c r="C35" s="252"/>
      <c r="D35" s="255" t="e">
        <f>SUM(D36:D39)</f>
        <v>#REF!</v>
      </c>
      <c r="E35" s="258">
        <f>SUM(E36:E42)</f>
        <v>2027000</v>
      </c>
      <c r="F35" s="430">
        <f>SUM(F36:F42)</f>
        <v>2097215</v>
      </c>
      <c r="G35" s="256">
        <f t="shared" ref="G35" si="7">SUM(G36:G41)</f>
        <v>1000640</v>
      </c>
      <c r="H35" s="257">
        <f>SUM(H36:H42)</f>
        <v>2246000</v>
      </c>
      <c r="I35" s="258">
        <f t="shared" si="0"/>
        <v>219000</v>
      </c>
      <c r="J35" s="259">
        <f t="shared" si="1"/>
        <v>0.10804144055254072</v>
      </c>
      <c r="K35" s="650"/>
    </row>
    <row r="36" spans="1:11" s="253" customFormat="1" ht="30.75" customHeight="1" x14ac:dyDescent="0.2">
      <c r="A36" s="251" t="s">
        <v>170</v>
      </c>
      <c r="B36" s="652"/>
      <c r="C36" s="260" t="s">
        <v>171</v>
      </c>
      <c r="D36" s="261" t="e">
        <f>SUM('[10]Celkem doprava'!#REF!)</f>
        <v>#REF!</v>
      </c>
      <c r="E36" s="265">
        <f>SUM('[10]Celkem doprava'!C20)</f>
        <v>660000</v>
      </c>
      <c r="F36" s="656">
        <f>SUM('[10]Celkem doprava'!D20)</f>
        <v>712119</v>
      </c>
      <c r="G36" s="263">
        <v>475650</v>
      </c>
      <c r="H36" s="264">
        <f>SUM('[10]Celkem doprava'!E20)</f>
        <v>800000</v>
      </c>
      <c r="I36" s="265">
        <f>H36-E36</f>
        <v>140000</v>
      </c>
      <c r="J36" s="266">
        <f>H36/E36-1</f>
        <v>0.21212121212121215</v>
      </c>
      <c r="K36" s="650"/>
    </row>
    <row r="37" spans="1:11" s="253" customFormat="1" ht="30" customHeight="1" x14ac:dyDescent="0.2">
      <c r="A37" s="251" t="s">
        <v>172</v>
      </c>
      <c r="B37" s="652"/>
      <c r="C37" s="260" t="s">
        <v>173</v>
      </c>
      <c r="D37" s="261" t="e">
        <f>SUM('[10]Celkem doprava'!#REF!)</f>
        <v>#REF!</v>
      </c>
      <c r="E37" s="265">
        <f>SUM('[10]Celkem doprava'!C21)</f>
        <v>950000</v>
      </c>
      <c r="F37" s="656">
        <f>SUM('[10]Celkem doprava'!D21)</f>
        <v>950000</v>
      </c>
      <c r="G37" s="263">
        <v>462248</v>
      </c>
      <c r="H37" s="264">
        <f>SUM('[10]Celkem doprava'!E21)</f>
        <v>1250000</v>
      </c>
      <c r="I37" s="265">
        <f t="shared" ref="I37:I42" si="8">H37-E37</f>
        <v>300000</v>
      </c>
      <c r="J37" s="266">
        <f t="shared" ref="J37:J52" si="9">H37/E37-1</f>
        <v>0.31578947368421062</v>
      </c>
      <c r="K37" s="650"/>
    </row>
    <row r="38" spans="1:11" s="253" customFormat="1" ht="16.5" customHeight="1" x14ac:dyDescent="0.2">
      <c r="A38" s="251" t="s">
        <v>343</v>
      </c>
      <c r="B38" s="652"/>
      <c r="C38" s="252" t="s">
        <v>65</v>
      </c>
      <c r="D38" s="245" t="e">
        <f>SUM('[10]Celkem doprava'!#REF!)</f>
        <v>#REF!</v>
      </c>
      <c r="E38" s="265">
        <f>SUM('[10]Celkem doprava'!C22)</f>
        <v>24000</v>
      </c>
      <c r="F38" s="656">
        <f>SUM('[10]Celkem doprava'!D22)</f>
        <v>36054</v>
      </c>
      <c r="G38" s="247">
        <v>25000</v>
      </c>
      <c r="H38" s="264">
        <f>SUM('[10]Celkem doprava'!E22)</f>
        <v>35000</v>
      </c>
      <c r="I38" s="265">
        <f t="shared" si="8"/>
        <v>11000</v>
      </c>
      <c r="J38" s="266">
        <f t="shared" si="9"/>
        <v>0.45833333333333326</v>
      </c>
      <c r="K38" s="650"/>
    </row>
    <row r="39" spans="1:11" s="253" customFormat="1" ht="16.5" customHeight="1" x14ac:dyDescent="0.2">
      <c r="A39" s="251" t="s">
        <v>175</v>
      </c>
      <c r="B39" s="652"/>
      <c r="C39" s="267" t="s">
        <v>67</v>
      </c>
      <c r="D39" s="245" t="e">
        <f>SUM('[10]Celkem doprava'!#REF!)</f>
        <v>#REF!</v>
      </c>
      <c r="E39" s="265">
        <f>SUM('[10]Celkem doprava'!C23)</f>
        <v>255000</v>
      </c>
      <c r="F39" s="656">
        <f>SUM('[10]Celkem doprava'!D23)</f>
        <v>255000</v>
      </c>
      <c r="G39" s="247">
        <v>37742</v>
      </c>
      <c r="H39" s="264">
        <f>SUM('[10]Celkem doprava'!E23)</f>
        <v>0</v>
      </c>
      <c r="I39" s="265">
        <f t="shared" si="8"/>
        <v>-255000</v>
      </c>
      <c r="J39" s="266">
        <f t="shared" si="9"/>
        <v>-1</v>
      </c>
      <c r="K39" s="650"/>
    </row>
    <row r="40" spans="1:11" s="253" customFormat="1" ht="16.5" customHeight="1" x14ac:dyDescent="0.2">
      <c r="A40" s="251" t="s">
        <v>176</v>
      </c>
      <c r="B40" s="652"/>
      <c r="C40" s="267" t="s">
        <v>69</v>
      </c>
      <c r="D40" s="245"/>
      <c r="E40" s="265">
        <f>SUM('[10]Celkem doprava'!C24)</f>
        <v>40000</v>
      </c>
      <c r="F40" s="656">
        <f>SUM('[10]Celkem doprava'!D24)</f>
        <v>43758</v>
      </c>
      <c r="G40" s="247"/>
      <c r="H40" s="264">
        <f>SUM('[10]Celkem doprava'!E24)</f>
        <v>46000</v>
      </c>
      <c r="I40" s="265">
        <f t="shared" si="8"/>
        <v>6000</v>
      </c>
      <c r="J40" s="266">
        <f t="shared" si="9"/>
        <v>0.14999999999999991</v>
      </c>
      <c r="K40" s="650"/>
    </row>
    <row r="41" spans="1:11" s="253" customFormat="1" ht="16.5" customHeight="1" x14ac:dyDescent="0.2">
      <c r="A41" s="251" t="s">
        <v>177</v>
      </c>
      <c r="B41" s="652"/>
      <c r="C41" s="267" t="s">
        <v>71</v>
      </c>
      <c r="D41" s="245"/>
      <c r="E41" s="265">
        <f>SUM('[10]Celkem doprava'!C25)</f>
        <v>43000</v>
      </c>
      <c r="F41" s="656">
        <f>SUM('[10]Celkem doprava'!D25)</f>
        <v>45284</v>
      </c>
      <c r="G41" s="247"/>
      <c r="H41" s="264">
        <f>SUM('[10]Celkem doprava'!E25)</f>
        <v>45000</v>
      </c>
      <c r="I41" s="265">
        <f t="shared" si="8"/>
        <v>2000</v>
      </c>
      <c r="J41" s="266">
        <f t="shared" si="9"/>
        <v>4.6511627906976827E-2</v>
      </c>
      <c r="K41" s="650"/>
    </row>
    <row r="42" spans="1:11" s="253" customFormat="1" ht="16.5" customHeight="1" thickBot="1" x14ac:dyDescent="0.25">
      <c r="A42" s="251" t="s">
        <v>316</v>
      </c>
      <c r="B42" s="652"/>
      <c r="C42" s="267" t="s">
        <v>92</v>
      </c>
      <c r="D42" s="245"/>
      <c r="E42" s="265">
        <f>SUM('[10]Celkem doprava'!C26)</f>
        <v>55000</v>
      </c>
      <c r="F42" s="656">
        <f>SUM('[10]Celkem doprava'!D26)</f>
        <v>55000</v>
      </c>
      <c r="G42" s="247"/>
      <c r="H42" s="264">
        <f>SUM('[10]Celkem doprava'!E26)</f>
        <v>70000</v>
      </c>
      <c r="I42" s="265">
        <f t="shared" si="8"/>
        <v>15000</v>
      </c>
      <c r="J42" s="266">
        <f t="shared" si="9"/>
        <v>0.27272727272727271</v>
      </c>
      <c r="K42" s="650"/>
    </row>
    <row r="43" spans="1:11" s="462" customFormat="1" ht="24.95" customHeight="1" x14ac:dyDescent="0.2">
      <c r="A43" s="235" t="s">
        <v>178</v>
      </c>
      <c r="B43" s="429" t="s">
        <v>263</v>
      </c>
      <c r="C43" s="236"/>
      <c r="D43" s="237" t="e">
        <f>SUM(D45:D54)</f>
        <v>#REF!</v>
      </c>
      <c r="E43" s="241">
        <f>E44+E55</f>
        <v>259645</v>
      </c>
      <c r="F43" s="279">
        <f>F44+F55</f>
        <v>261588</v>
      </c>
      <c r="G43" s="239">
        <f>SUM(G45:G54)</f>
        <v>151179</v>
      </c>
      <c r="H43" s="240">
        <f>H44+H55</f>
        <v>279763</v>
      </c>
      <c r="I43" s="241">
        <f>H43-E43</f>
        <v>20118</v>
      </c>
      <c r="J43" s="242">
        <f t="shared" si="9"/>
        <v>7.7482716786381411E-2</v>
      </c>
      <c r="K43" s="650"/>
    </row>
    <row r="44" spans="1:11" s="253" customFormat="1" ht="18" customHeight="1" x14ac:dyDescent="0.25">
      <c r="A44" s="254" t="s">
        <v>168</v>
      </c>
      <c r="B44" s="655"/>
      <c r="C44" s="244"/>
      <c r="D44" s="255"/>
      <c r="E44" s="258">
        <f>SUM(E45:E54)</f>
        <v>258780</v>
      </c>
      <c r="F44" s="430">
        <f>SUM(F45:F54)</f>
        <v>260514</v>
      </c>
      <c r="G44" s="256"/>
      <c r="H44" s="257">
        <f>SUM(H45:H54)</f>
        <v>278718</v>
      </c>
      <c r="I44" s="258">
        <f>H44-E44</f>
        <v>19938</v>
      </c>
      <c r="J44" s="259">
        <f t="shared" si="9"/>
        <v>7.7046139578019979E-2</v>
      </c>
      <c r="K44" s="650"/>
    </row>
    <row r="45" spans="1:11" s="462" customFormat="1" ht="17.100000000000001" customHeight="1" x14ac:dyDescent="0.2">
      <c r="A45" s="243" t="s">
        <v>160</v>
      </c>
      <c r="B45" s="651"/>
      <c r="C45" s="244" t="s">
        <v>161</v>
      </c>
      <c r="D45" s="245">
        <f>SUM('[10]Celkem kultura '!C14)</f>
        <v>43002</v>
      </c>
      <c r="E45" s="249">
        <f>SUM('[10]Celkem kultura '!D14)</f>
        <v>25379</v>
      </c>
      <c r="F45" s="650">
        <f>SUM('[10]Celkem kultura '!E14)</f>
        <v>26565</v>
      </c>
      <c r="G45" s="247">
        <v>49617</v>
      </c>
      <c r="H45" s="498">
        <f>SUM('[10]Celkem kultura '!F14)</f>
        <v>28259</v>
      </c>
      <c r="I45" s="249">
        <f t="shared" ref="I45:I56" si="10">H45-E45</f>
        <v>2880</v>
      </c>
      <c r="J45" s="250">
        <f t="shared" si="9"/>
        <v>0.11347964852831072</v>
      </c>
      <c r="K45" s="650"/>
    </row>
    <row r="46" spans="1:11" s="462" customFormat="1" ht="17.100000000000001" customHeight="1" x14ac:dyDescent="0.2">
      <c r="A46" s="243" t="s">
        <v>336</v>
      </c>
      <c r="B46" s="651"/>
      <c r="C46" s="244" t="s">
        <v>162</v>
      </c>
      <c r="D46" s="245"/>
      <c r="E46" s="249">
        <f>SUM('[10]Celkem kultura '!D15)</f>
        <v>184663</v>
      </c>
      <c r="F46" s="650">
        <f>SUM('[10]Celkem kultura '!E15)</f>
        <v>183514</v>
      </c>
      <c r="G46" s="247"/>
      <c r="H46" s="498">
        <f>SUM('[10]Celkem kultura '!F15)</f>
        <v>199529</v>
      </c>
      <c r="I46" s="249">
        <f>H46-E46</f>
        <v>14866</v>
      </c>
      <c r="J46" s="250">
        <f t="shared" ref="J46:J51" si="11">IF(E46=0,"",H46/E46-1)</f>
        <v>8.0503403497181436E-2</v>
      </c>
      <c r="K46" s="650"/>
    </row>
    <row r="47" spans="1:11" s="462" customFormat="1" ht="17.100000000000001" customHeight="1" x14ac:dyDescent="0.2">
      <c r="A47" s="243" t="s">
        <v>337</v>
      </c>
      <c r="B47" s="651"/>
      <c r="C47" s="244" t="s">
        <v>163</v>
      </c>
      <c r="D47" s="245"/>
      <c r="E47" s="249">
        <f>SUM('[10]Celkem kultura '!D16)</f>
        <v>20322</v>
      </c>
      <c r="F47" s="650">
        <f>SUM('[10]Celkem kultura '!E16)</f>
        <v>20322</v>
      </c>
      <c r="G47" s="247"/>
      <c r="H47" s="498">
        <f>SUM('[10]Celkem kultura '!F16)</f>
        <v>23735</v>
      </c>
      <c r="I47" s="249">
        <f>H47-E47</f>
        <v>3413</v>
      </c>
      <c r="J47" s="250">
        <f t="shared" si="11"/>
        <v>0.16794606830036418</v>
      </c>
      <c r="K47" s="650"/>
    </row>
    <row r="48" spans="1:11" s="462" customFormat="1" ht="17.100000000000001" customHeight="1" x14ac:dyDescent="0.2">
      <c r="A48" s="251" t="s">
        <v>338</v>
      </c>
      <c r="B48" s="652"/>
      <c r="C48" s="252" t="s">
        <v>164</v>
      </c>
      <c r="D48" s="245">
        <f>SUM('[10]Celkem kultura '!C15)</f>
        <v>66420</v>
      </c>
      <c r="E48" s="249">
        <f>SUM('[10]Celkem kultura '!D17)</f>
        <v>8077</v>
      </c>
      <c r="F48" s="650">
        <f>SUM('[10]Celkem kultura '!E17)</f>
        <v>9774</v>
      </c>
      <c r="G48" s="247">
        <v>76901</v>
      </c>
      <c r="H48" s="498">
        <f>SUM('[10]Celkem kultura '!F17)</f>
        <v>7818</v>
      </c>
      <c r="I48" s="249">
        <f t="shared" ref="I48:I53" si="12">H48-E48</f>
        <v>-259</v>
      </c>
      <c r="J48" s="250">
        <f t="shared" si="11"/>
        <v>-3.2066361272749755E-2</v>
      </c>
      <c r="K48" s="650"/>
    </row>
    <row r="49" spans="1:11" s="462" customFormat="1" ht="17.100000000000001" customHeight="1" x14ac:dyDescent="0.2">
      <c r="A49" s="243" t="s">
        <v>344</v>
      </c>
      <c r="B49" s="541"/>
      <c r="C49" s="252" t="s">
        <v>165</v>
      </c>
      <c r="D49" s="245"/>
      <c r="E49" s="249">
        <f>SUM('[10]Celkem kultura '!D18)</f>
        <v>2267</v>
      </c>
      <c r="F49" s="650">
        <f>SUM('[10]Celkem kultura '!E18)</f>
        <v>2267</v>
      </c>
      <c r="G49" s="247"/>
      <c r="H49" s="498">
        <f>SUM('[10]Celkem kultura '!F18)</f>
        <v>2328</v>
      </c>
      <c r="I49" s="249">
        <f t="shared" si="12"/>
        <v>61</v>
      </c>
      <c r="J49" s="250">
        <f t="shared" si="11"/>
        <v>2.6907807675341955E-2</v>
      </c>
      <c r="K49" s="650"/>
    </row>
    <row r="50" spans="1:11" s="462" customFormat="1" ht="17.100000000000001" customHeight="1" x14ac:dyDescent="0.2">
      <c r="A50" s="243" t="s">
        <v>345</v>
      </c>
      <c r="B50" s="652"/>
      <c r="C50" s="252" t="s">
        <v>179</v>
      </c>
      <c r="D50" s="245"/>
      <c r="E50" s="249">
        <f>SUM('[10]Celkem kultura '!D19)</f>
        <v>280</v>
      </c>
      <c r="F50" s="650">
        <f>SUM('[10]Celkem kultura '!E19)</f>
        <v>280</v>
      </c>
      <c r="G50" s="247"/>
      <c r="H50" s="498">
        <f>SUM('[10]Celkem kultura '!F19)</f>
        <v>280</v>
      </c>
      <c r="I50" s="249">
        <f t="shared" si="12"/>
        <v>0</v>
      </c>
      <c r="J50" s="250">
        <f t="shared" si="11"/>
        <v>0</v>
      </c>
      <c r="K50" s="650"/>
    </row>
    <row r="51" spans="1:11" s="462" customFormat="1" ht="17.100000000000001" customHeight="1" x14ac:dyDescent="0.2">
      <c r="A51" s="542" t="s">
        <v>346</v>
      </c>
      <c r="B51" s="652"/>
      <c r="C51" s="252" t="s">
        <v>314</v>
      </c>
      <c r="D51" s="245"/>
      <c r="E51" s="249">
        <f>SUM('[10]Celkem kultura '!D20)</f>
        <v>6300</v>
      </c>
      <c r="F51" s="650">
        <f>SUM('[10]Celkem kultura '!E20)</f>
        <v>6300</v>
      </c>
      <c r="G51" s="247"/>
      <c r="H51" s="498">
        <f>SUM('[10]Celkem kultura '!F20)</f>
        <v>6029</v>
      </c>
      <c r="I51" s="249">
        <f t="shared" si="12"/>
        <v>-271</v>
      </c>
      <c r="J51" s="250">
        <f t="shared" si="11"/>
        <v>-4.3015873015873063E-2</v>
      </c>
      <c r="K51" s="650"/>
    </row>
    <row r="52" spans="1:11" s="462" customFormat="1" ht="17.100000000000001" customHeight="1" x14ac:dyDescent="0.2">
      <c r="A52" s="543" t="s">
        <v>347</v>
      </c>
      <c r="B52" s="651"/>
      <c r="C52" s="244" t="s">
        <v>315</v>
      </c>
      <c r="D52" s="245">
        <f>SUM('[10]Celkem kultura '!C16)</f>
        <v>18718</v>
      </c>
      <c r="E52" s="249">
        <f>SUM('[10]Celkem kultura '!D21)</f>
        <v>8650</v>
      </c>
      <c r="F52" s="650">
        <f>SUM('[10]Celkem kultura '!E21)</f>
        <v>8650</v>
      </c>
      <c r="G52" s="247">
        <v>16823</v>
      </c>
      <c r="H52" s="498">
        <f>SUM('[10]Celkem kultura '!F21)</f>
        <v>8100</v>
      </c>
      <c r="I52" s="249">
        <f t="shared" si="12"/>
        <v>-550</v>
      </c>
      <c r="J52" s="250">
        <f t="shared" si="9"/>
        <v>-6.3583815028901758E-2</v>
      </c>
      <c r="K52" s="650"/>
    </row>
    <row r="53" spans="1:11" s="462" customFormat="1" ht="17.100000000000001" customHeight="1" x14ac:dyDescent="0.2">
      <c r="A53" s="544" t="s">
        <v>348</v>
      </c>
      <c r="B53" s="652"/>
      <c r="C53" s="252" t="s">
        <v>342</v>
      </c>
      <c r="D53" s="245">
        <f>SUM('[10]Celkem kultura '!C17)</f>
        <v>302</v>
      </c>
      <c r="E53" s="249">
        <f>SUM('[10]Celkem kultura '!D22)</f>
        <v>2822</v>
      </c>
      <c r="F53" s="650">
        <f>SUM('[10]Celkem kultura '!E22)</f>
        <v>2822</v>
      </c>
      <c r="G53" s="245">
        <f>SUM('[10]Celkem kultura '!F17)</f>
        <v>7818</v>
      </c>
      <c r="H53" s="498">
        <f>SUM('[10]Celkem kultura '!F22)</f>
        <v>2620</v>
      </c>
      <c r="I53" s="249">
        <f t="shared" si="12"/>
        <v>-202</v>
      </c>
      <c r="J53" s="250"/>
      <c r="K53" s="650"/>
    </row>
    <row r="54" spans="1:11" s="462" customFormat="1" ht="15.95" customHeight="1" x14ac:dyDescent="0.2">
      <c r="A54" s="657" t="s">
        <v>180</v>
      </c>
      <c r="B54" s="658"/>
      <c r="C54" s="244" t="s">
        <v>179</v>
      </c>
      <c r="D54" s="245" t="e">
        <f>SUM('[10]Celkem kultura '!#REF!)</f>
        <v>#REF!</v>
      </c>
      <c r="E54" s="249">
        <f>SUM('[10]Celkem kultura '!D24)</f>
        <v>20</v>
      </c>
      <c r="F54" s="284">
        <v>20</v>
      </c>
      <c r="G54" s="247">
        <v>20</v>
      </c>
      <c r="H54" s="248">
        <f>SUM('[10]Celkem kultura '!F24)</f>
        <v>20</v>
      </c>
      <c r="I54" s="249">
        <f>H54-E54</f>
        <v>0</v>
      </c>
      <c r="J54" s="250">
        <f>H54/E54-1</f>
        <v>0</v>
      </c>
      <c r="K54" s="650"/>
    </row>
    <row r="55" spans="1:11" s="462" customFormat="1" ht="15.95" customHeight="1" x14ac:dyDescent="0.25">
      <c r="A55" s="254" t="s">
        <v>181</v>
      </c>
      <c r="B55" s="655"/>
      <c r="C55" s="244"/>
      <c r="D55" s="255"/>
      <c r="E55" s="258">
        <f>E56</f>
        <v>865</v>
      </c>
      <c r="F55" s="659">
        <f>F56</f>
        <v>1074</v>
      </c>
      <c r="G55" s="256"/>
      <c r="H55" s="257">
        <f>SUM(H56)</f>
        <v>1045</v>
      </c>
      <c r="I55" s="258">
        <f>H55-E55</f>
        <v>180</v>
      </c>
      <c r="J55" s="259">
        <f t="shared" ref="J55:J56" si="13">H55/E55-1</f>
        <v>0.20809248554913284</v>
      </c>
      <c r="K55" s="650"/>
    </row>
    <row r="56" spans="1:11" s="462" customFormat="1" ht="15.95" customHeight="1" thickBot="1" x14ac:dyDescent="0.25">
      <c r="A56" s="243" t="s">
        <v>182</v>
      </c>
      <c r="B56" s="651"/>
      <c r="C56" s="244" t="s">
        <v>183</v>
      </c>
      <c r="D56" s="245"/>
      <c r="E56" s="249">
        <f>SUM('[10]Celkem kultura '!D28)</f>
        <v>865</v>
      </c>
      <c r="F56" s="650">
        <f>SUM('[10]PO - kultura'!AA20)</f>
        <v>1074</v>
      </c>
      <c r="G56" s="247"/>
      <c r="H56" s="248">
        <f>SUM('[10]Celkem kultura '!F28)</f>
        <v>1045</v>
      </c>
      <c r="I56" s="249">
        <f t="shared" si="10"/>
        <v>180</v>
      </c>
      <c r="J56" s="250">
        <f t="shared" si="13"/>
        <v>0.20809248554913284</v>
      </c>
      <c r="K56" s="650"/>
    </row>
    <row r="57" spans="1:11" ht="24.95" customHeight="1" x14ac:dyDescent="0.2">
      <c r="A57" s="235" t="s">
        <v>184</v>
      </c>
      <c r="B57" s="429" t="s">
        <v>225</v>
      </c>
      <c r="C57" s="236"/>
      <c r="D57" s="237">
        <f>SUM(D58:D64)</f>
        <v>225810</v>
      </c>
      <c r="E57" s="241">
        <f>SUM(E58:E64)</f>
        <v>362744</v>
      </c>
      <c r="F57" s="279">
        <f>SUM(F58:F64)</f>
        <v>337941</v>
      </c>
      <c r="G57" s="239">
        <f>SUM(G58:G64)</f>
        <v>273463</v>
      </c>
      <c r="H57" s="240">
        <f>SUM(H58:H64)</f>
        <v>416132</v>
      </c>
      <c r="I57" s="241">
        <f>H57-E57</f>
        <v>53388</v>
      </c>
      <c r="J57" s="242">
        <f>H57/E57-1</f>
        <v>0.14717817524204402</v>
      </c>
      <c r="K57" s="660"/>
    </row>
    <row r="58" spans="1:11" ht="17.100000000000001" customHeight="1" x14ac:dyDescent="0.2">
      <c r="A58" s="243" t="s">
        <v>160</v>
      </c>
      <c r="B58" s="651"/>
      <c r="C58" s="244" t="s">
        <v>161</v>
      </c>
      <c r="D58" s="245">
        <f>SUM('[10]Celkem zdravotnictví'!C11)</f>
        <v>74123</v>
      </c>
      <c r="E58" s="249">
        <f>SUM('[10]Celkem zdravotnictví'!D11)</f>
        <v>36294</v>
      </c>
      <c r="F58" s="650">
        <f>SUM('[10]Celkem zdravotnictví'!E11)</f>
        <v>11491</v>
      </c>
      <c r="G58" s="247">
        <v>96028</v>
      </c>
      <c r="H58" s="248">
        <f>SUM('[10]Celkem zdravotnictví'!F11)</f>
        <v>37921</v>
      </c>
      <c r="I58" s="249">
        <f>H58-E58</f>
        <v>1627</v>
      </c>
      <c r="J58" s="250">
        <f>H58/E58-1</f>
        <v>4.4828346283132259E-2</v>
      </c>
      <c r="K58" s="660"/>
    </row>
    <row r="59" spans="1:11" s="462" customFormat="1" ht="17.100000000000001" customHeight="1" x14ac:dyDescent="0.2">
      <c r="A59" s="243" t="s">
        <v>336</v>
      </c>
      <c r="B59" s="651"/>
      <c r="C59" s="244" t="s">
        <v>162</v>
      </c>
      <c r="D59" s="245"/>
      <c r="E59" s="249">
        <f>SUM('[10]Celkem zdravotnictví'!D12)</f>
        <v>264148</v>
      </c>
      <c r="F59" s="650">
        <f>SUM('[10]Celkem zdravotnictví'!E12)</f>
        <v>264148</v>
      </c>
      <c r="G59" s="247"/>
      <c r="H59" s="248">
        <f>SUM('[10]Celkem zdravotnictví'!F12)</f>
        <v>312732</v>
      </c>
      <c r="I59" s="249">
        <f t="shared" ref="I59:I70" si="14">H59-E59</f>
        <v>48584</v>
      </c>
      <c r="J59" s="250">
        <f t="shared" ref="J59:J60" si="15">IF(E59=0,"",H59/E59-1)</f>
        <v>0.18392719233157173</v>
      </c>
      <c r="K59" s="650"/>
    </row>
    <row r="60" spans="1:11" s="462" customFormat="1" ht="17.100000000000001" customHeight="1" x14ac:dyDescent="0.2">
      <c r="A60" s="243" t="s">
        <v>337</v>
      </c>
      <c r="B60" s="651"/>
      <c r="C60" s="244" t="s">
        <v>163</v>
      </c>
      <c r="D60" s="245"/>
      <c r="E60" s="249">
        <f>SUM('[10]Celkem zdravotnictví'!D13)</f>
        <v>36712</v>
      </c>
      <c r="F60" s="650">
        <f>SUM('[10]Celkem zdravotnictví'!E13)</f>
        <v>36712</v>
      </c>
      <c r="G60" s="247"/>
      <c r="H60" s="248">
        <f>SUM('[10]Celkem zdravotnictví'!F13)</f>
        <v>38147</v>
      </c>
      <c r="I60" s="249">
        <f t="shared" si="14"/>
        <v>1435</v>
      </c>
      <c r="J60" s="250">
        <f t="shared" si="15"/>
        <v>3.9088036609283172E-2</v>
      </c>
      <c r="K60" s="650"/>
    </row>
    <row r="61" spans="1:11" ht="17.100000000000001" customHeight="1" x14ac:dyDescent="0.2">
      <c r="A61" s="251" t="s">
        <v>338</v>
      </c>
      <c r="B61" s="652"/>
      <c r="C61" s="252" t="s">
        <v>164</v>
      </c>
      <c r="D61" s="245">
        <f>SUM('[10]Celkem zdravotnictví'!C12)</f>
        <v>129005</v>
      </c>
      <c r="E61" s="249">
        <f>SUM('[10]Celkem zdravotnictví'!D14)</f>
        <v>2676</v>
      </c>
      <c r="F61" s="650">
        <f>SUM('[10]Celkem zdravotnictví'!E14)</f>
        <v>2676</v>
      </c>
      <c r="G61" s="247">
        <v>151438</v>
      </c>
      <c r="H61" s="248">
        <f>SUM('[10]Celkem zdravotnictví'!F14)</f>
        <v>2676</v>
      </c>
      <c r="I61" s="249">
        <f t="shared" si="14"/>
        <v>0</v>
      </c>
      <c r="J61" s="250">
        <f>H61/E61-1</f>
        <v>0</v>
      </c>
      <c r="K61" s="660"/>
    </row>
    <row r="62" spans="1:11" ht="17.100000000000001" customHeight="1" x14ac:dyDescent="0.2">
      <c r="A62" s="243" t="s">
        <v>339</v>
      </c>
      <c r="B62" s="651"/>
      <c r="C62" s="244" t="s">
        <v>314</v>
      </c>
      <c r="D62" s="245">
        <f>SUM('[10]Celkem zdravotnictví'!C13)</f>
        <v>14538</v>
      </c>
      <c r="E62" s="249">
        <f>SUM('[10]Celkem zdravotnictví'!D15)</f>
        <v>11700</v>
      </c>
      <c r="F62" s="650">
        <f>SUM('[10]Celkem zdravotnictví'!E15)</f>
        <v>11700</v>
      </c>
      <c r="G62" s="247">
        <v>25997</v>
      </c>
      <c r="H62" s="248">
        <f>SUM('[10]Celkem zdravotnictví'!F15)</f>
        <v>11420</v>
      </c>
      <c r="I62" s="249">
        <f t="shared" si="14"/>
        <v>-280</v>
      </c>
      <c r="J62" s="250">
        <f>H62/E62-1</f>
        <v>-2.3931623931623958E-2</v>
      </c>
      <c r="K62" s="660"/>
    </row>
    <row r="63" spans="1:11" ht="17.100000000000001" customHeight="1" x14ac:dyDescent="0.2">
      <c r="A63" s="243" t="s">
        <v>340</v>
      </c>
      <c r="B63" s="244"/>
      <c r="C63" s="244" t="s">
        <v>315</v>
      </c>
      <c r="D63" s="245">
        <f>SUM('[10]Celkem zdravotnictví'!C14)</f>
        <v>0</v>
      </c>
      <c r="E63" s="249">
        <f>SUM('[10]Celkem zdravotnictví'!D16)</f>
        <v>9500</v>
      </c>
      <c r="F63" s="650">
        <f>SUM('[10]Celkem zdravotnictví'!E16)</f>
        <v>9500</v>
      </c>
      <c r="G63" s="247"/>
      <c r="H63" s="248">
        <f>SUM('[10]Celkem zdravotnictví'!F16)</f>
        <v>11522</v>
      </c>
      <c r="I63" s="249">
        <f t="shared" si="14"/>
        <v>2022</v>
      </c>
      <c r="J63" s="250">
        <f>H63/E63-1</f>
        <v>0.21284210526315794</v>
      </c>
      <c r="K63" s="660"/>
    </row>
    <row r="64" spans="1:11" ht="15" thickBot="1" x14ac:dyDescent="0.25">
      <c r="A64" s="654" t="s">
        <v>341</v>
      </c>
      <c r="B64" s="244"/>
      <c r="C64" s="244" t="s">
        <v>342</v>
      </c>
      <c r="D64" s="545">
        <f>SUM('[10]Celkem zdravotnictví'!C18)</f>
        <v>8144</v>
      </c>
      <c r="E64" s="249">
        <f>SUM('[10]Celkem zdravotnictví'!D17)</f>
        <v>1714</v>
      </c>
      <c r="F64" s="650">
        <f>SUM('[10]Celkem zdravotnictví'!E17)</f>
        <v>1714</v>
      </c>
      <c r="G64" s="247"/>
      <c r="H64" s="248">
        <f>SUM('[10]Celkem zdravotnictví'!F17)</f>
        <v>1714</v>
      </c>
      <c r="I64" s="249">
        <f t="shared" si="14"/>
        <v>0</v>
      </c>
      <c r="J64" s="250"/>
      <c r="K64" s="660"/>
    </row>
    <row r="65" spans="1:11" s="253" customFormat="1" ht="24.95" customHeight="1" thickBot="1" x14ac:dyDescent="0.25">
      <c r="A65" s="268" t="s">
        <v>264</v>
      </c>
      <c r="B65" s="431" t="s">
        <v>265</v>
      </c>
      <c r="C65" s="269"/>
      <c r="D65" s="527">
        <v>0</v>
      </c>
      <c r="E65" s="527">
        <f>SUM(E66:E69)</f>
        <v>140000</v>
      </c>
      <c r="F65" s="661">
        <f>SUM(F66:F69)</f>
        <v>108937</v>
      </c>
      <c r="G65" s="270">
        <f t="shared" ref="G65" si="16">SUM(G66:G68)</f>
        <v>247466</v>
      </c>
      <c r="H65" s="270">
        <f>SUM(H66:H69)</f>
        <v>70000</v>
      </c>
      <c r="I65" s="270">
        <f t="shared" si="14"/>
        <v>-70000</v>
      </c>
      <c r="J65" s="292">
        <f t="shared" ref="J65:J70" si="17">H65/E65-1</f>
        <v>-0.5</v>
      </c>
      <c r="K65" s="650"/>
    </row>
    <row r="66" spans="1:11" s="549" customFormat="1" ht="16.149999999999999" customHeight="1" x14ac:dyDescent="0.2">
      <c r="A66" s="546" t="s">
        <v>317</v>
      </c>
      <c r="B66" s="547"/>
      <c r="C66" s="548" t="s">
        <v>185</v>
      </c>
      <c r="D66" s="650">
        <f>SUM('[10]Celkem zdravotnictví'!C21)</f>
        <v>0</v>
      </c>
      <c r="E66" s="249">
        <f>SUM('[10]rezerva PO'!E15)</f>
        <v>30000</v>
      </c>
      <c r="F66" s="650">
        <f>'[10]rezerva PO'!H15</f>
        <v>8911</v>
      </c>
      <c r="G66" s="247">
        <v>96028</v>
      </c>
      <c r="H66" s="248">
        <f>SUM('[10]rezerva PO'!I15)</f>
        <v>30000</v>
      </c>
      <c r="I66" s="249">
        <f t="shared" si="14"/>
        <v>0</v>
      </c>
      <c r="J66" s="250">
        <f t="shared" si="17"/>
        <v>0</v>
      </c>
      <c r="K66" s="662"/>
    </row>
    <row r="67" spans="1:11" s="549" customFormat="1" ht="16.149999999999999" customHeight="1" x14ac:dyDescent="0.2">
      <c r="A67" s="550" t="s">
        <v>318</v>
      </c>
      <c r="B67" s="551"/>
      <c r="C67" s="552" t="s">
        <v>319</v>
      </c>
      <c r="D67" s="650">
        <f>SUM('[10]Celkem zdravotnictví'!C22)</f>
        <v>0</v>
      </c>
      <c r="E67" s="249">
        <f>SUM('[10]rezerva PO'!E16)</f>
        <v>60000</v>
      </c>
      <c r="F67" s="650">
        <f>'[10]rezerva PO'!H16</f>
        <v>59758</v>
      </c>
      <c r="G67" s="247">
        <v>151438</v>
      </c>
      <c r="H67" s="248">
        <f>SUM('[10]rezerva PO'!I16)</f>
        <v>20000</v>
      </c>
      <c r="I67" s="249">
        <f t="shared" si="14"/>
        <v>-40000</v>
      </c>
      <c r="J67" s="250">
        <f t="shared" si="17"/>
        <v>-0.66666666666666674</v>
      </c>
      <c r="K67" s="662"/>
    </row>
    <row r="68" spans="1:11" s="549" customFormat="1" ht="16.149999999999999" customHeight="1" thickBot="1" x14ac:dyDescent="0.25">
      <c r="A68" s="550" t="s">
        <v>320</v>
      </c>
      <c r="B68" s="551"/>
      <c r="C68" s="552" t="s">
        <v>171</v>
      </c>
      <c r="D68" s="528"/>
      <c r="E68" s="249">
        <f>SUM('[10]rezerva PO'!E17)</f>
        <v>0</v>
      </c>
      <c r="F68" s="650">
        <f>'[10]rezerva PO'!H17</f>
        <v>0</v>
      </c>
      <c r="G68" s="529"/>
      <c r="H68" s="248">
        <f>SUM('[10]rezerva PO'!I17)</f>
        <v>0</v>
      </c>
      <c r="I68" s="249">
        <f t="shared" si="14"/>
        <v>0</v>
      </c>
      <c r="J68" s="250"/>
      <c r="K68" s="662"/>
    </row>
    <row r="69" spans="1:11" s="549" customFormat="1" ht="16.149999999999999" customHeight="1" thickTop="1" thickBot="1" x14ac:dyDescent="0.25">
      <c r="A69" s="663" t="s">
        <v>349</v>
      </c>
      <c r="B69" s="551"/>
      <c r="C69" s="552" t="s">
        <v>350</v>
      </c>
      <c r="D69" s="650"/>
      <c r="E69" s="249">
        <f>'[10]rezerva PO'!E18</f>
        <v>50000</v>
      </c>
      <c r="F69" s="650">
        <f>'[10]rezerva PO'!H18</f>
        <v>40268</v>
      </c>
      <c r="G69" s="245"/>
      <c r="H69" s="245">
        <f>'[10]rezerva PO'!I18</f>
        <v>20000</v>
      </c>
      <c r="I69" s="249">
        <f t="shared" si="14"/>
        <v>-30000</v>
      </c>
      <c r="J69" s="250">
        <f t="shared" si="17"/>
        <v>-0.6</v>
      </c>
      <c r="K69" s="662"/>
    </row>
    <row r="70" spans="1:11" s="275" customFormat="1" ht="30" customHeight="1" thickTop="1" thickBot="1" x14ac:dyDescent="0.3">
      <c r="A70" s="664" t="s">
        <v>186</v>
      </c>
      <c r="B70" s="665"/>
      <c r="C70" s="666"/>
      <c r="D70" s="553" t="e">
        <f>SUM(D9,D17,D26,D43,D57,D66)</f>
        <v>#REF!</v>
      </c>
      <c r="E70" s="433">
        <f>SUM(E9,E17,E26,E43,E57,E65)</f>
        <v>4429617</v>
      </c>
      <c r="F70" s="298">
        <f>SUM(F9,F17,F26,F43,F57,F65)</f>
        <v>4518697</v>
      </c>
      <c r="G70" s="667">
        <f>SUM(G9,G17,G26,G43,G57,G65)</f>
        <v>2966121</v>
      </c>
      <c r="H70" s="667">
        <f>SUM(H9,H17,H26,H43,H57,H65)</f>
        <v>4713202</v>
      </c>
      <c r="I70" s="273">
        <f t="shared" si="14"/>
        <v>283585</v>
      </c>
      <c r="J70" s="274">
        <f t="shared" si="17"/>
        <v>6.4020207616143798E-2</v>
      </c>
      <c r="K70" s="581"/>
    </row>
    <row r="71" spans="1:11" x14ac:dyDescent="0.2">
      <c r="F71" s="434"/>
      <c r="G71" s="434"/>
      <c r="H71" s="464"/>
    </row>
    <row r="72" spans="1:11" s="462" customFormat="1" ht="18.75" thickBot="1" x14ac:dyDescent="0.3">
      <c r="A72" s="276" t="s">
        <v>23</v>
      </c>
      <c r="B72" s="435"/>
      <c r="C72" s="277"/>
      <c r="D72" s="277"/>
      <c r="J72" s="648" t="s">
        <v>0</v>
      </c>
    </row>
    <row r="73" spans="1:11" s="462" customFormat="1" ht="15.75" customHeight="1" x14ac:dyDescent="0.25">
      <c r="A73" s="554"/>
      <c r="B73" s="555"/>
      <c r="C73" s="426"/>
      <c r="D73" s="227">
        <v>2015</v>
      </c>
      <c r="E73" s="912">
        <v>2024</v>
      </c>
      <c r="F73" s="913"/>
      <c r="G73" s="914"/>
      <c r="H73" s="540">
        <v>2025</v>
      </c>
      <c r="I73" s="915" t="s">
        <v>335</v>
      </c>
      <c r="J73" s="916"/>
    </row>
    <row r="74" spans="1:11" s="462" customFormat="1" ht="15.75" customHeight="1" x14ac:dyDescent="0.2">
      <c r="A74" s="929" t="s">
        <v>147</v>
      </c>
      <c r="B74" s="556"/>
      <c r="C74" s="931" t="s">
        <v>133</v>
      </c>
      <c r="D74" s="908" t="s">
        <v>148</v>
      </c>
      <c r="E74" s="910" t="s">
        <v>149</v>
      </c>
      <c r="F74" s="919" t="s">
        <v>441</v>
      </c>
      <c r="G74" s="921" t="s">
        <v>150</v>
      </c>
      <c r="H74" s="923" t="s">
        <v>151</v>
      </c>
      <c r="I74" s="934" t="s">
        <v>280</v>
      </c>
      <c r="J74" s="926" t="s">
        <v>152</v>
      </c>
    </row>
    <row r="75" spans="1:11" s="462" customFormat="1" ht="35.25" customHeight="1" thickBot="1" x14ac:dyDescent="0.25">
      <c r="A75" s="930"/>
      <c r="B75" s="557"/>
      <c r="C75" s="932"/>
      <c r="D75" s="909"/>
      <c r="E75" s="911"/>
      <c r="F75" s="920"/>
      <c r="G75" s="922"/>
      <c r="H75" s="909"/>
      <c r="I75" s="935"/>
      <c r="J75" s="927"/>
    </row>
    <row r="76" spans="1:11" s="462" customFormat="1" ht="15" customHeight="1" thickTop="1" thickBot="1" x14ac:dyDescent="0.25">
      <c r="A76" s="558"/>
      <c r="B76" s="559"/>
      <c r="C76" s="668"/>
      <c r="D76" s="229" t="s">
        <v>153</v>
      </c>
      <c r="E76" s="230" t="s">
        <v>153</v>
      </c>
      <c r="F76" s="231" t="s">
        <v>154</v>
      </c>
      <c r="G76" s="232" t="s">
        <v>155</v>
      </c>
      <c r="H76" s="229" t="s">
        <v>156</v>
      </c>
      <c r="I76" s="233" t="s">
        <v>157</v>
      </c>
      <c r="J76" s="234" t="s">
        <v>158</v>
      </c>
    </row>
    <row r="77" spans="1:11" s="278" customFormat="1" ht="24.95" customHeight="1" x14ac:dyDescent="0.25">
      <c r="A77" s="560" t="s">
        <v>168</v>
      </c>
      <c r="B77" s="561"/>
      <c r="C77" s="562"/>
      <c r="D77" s="240" t="e">
        <f>SUM(D78:D89)</f>
        <v>#REF!</v>
      </c>
      <c r="E77" s="279">
        <f>SUM(E78:E90)</f>
        <v>2401752</v>
      </c>
      <c r="F77" s="238">
        <f>SUM(F78:F90)</f>
        <v>2420408</v>
      </c>
      <c r="G77" s="280" t="e">
        <f>SUM(G78:G89)</f>
        <v>#REF!</v>
      </c>
      <c r="H77" s="281">
        <f>SUM(H78:H89)</f>
        <v>2466157</v>
      </c>
      <c r="I77" s="282">
        <f>H77-E77</f>
        <v>64405</v>
      </c>
      <c r="J77" s="283">
        <f>H77/E77-1</f>
        <v>2.6815841102661775E-2</v>
      </c>
    </row>
    <row r="78" spans="1:11" s="253" customFormat="1" ht="17.100000000000001" customHeight="1" x14ac:dyDescent="0.2">
      <c r="A78" s="563" t="s">
        <v>160</v>
      </c>
      <c r="B78" s="551"/>
      <c r="C78" s="564" t="s">
        <v>161</v>
      </c>
      <c r="D78" s="248" t="e">
        <f>SUM(D10,D18,D28,D45,D58)</f>
        <v>#REF!</v>
      </c>
      <c r="E78" s="284">
        <f>SUM(E10,E18,E28,E45,E58)</f>
        <v>522551</v>
      </c>
      <c r="F78" s="246">
        <f>SUM(F10,F18,F28,F45,F58)</f>
        <v>566668</v>
      </c>
      <c r="G78" s="650">
        <v>1066610</v>
      </c>
      <c r="H78" s="248">
        <f>SUM(H10,H18,H28,H45,H58)</f>
        <v>579514</v>
      </c>
      <c r="I78" s="284">
        <f>H78-E78</f>
        <v>56963</v>
      </c>
      <c r="J78" s="250">
        <f>H78/E78-1</f>
        <v>0.1090094555363974</v>
      </c>
    </row>
    <row r="79" spans="1:11" s="462" customFormat="1" ht="17.100000000000001" customHeight="1" x14ac:dyDescent="0.2">
      <c r="A79" s="563" t="s">
        <v>336</v>
      </c>
      <c r="B79" s="551"/>
      <c r="C79" s="564" t="s">
        <v>162</v>
      </c>
      <c r="D79" s="245"/>
      <c r="E79" s="284">
        <f t="shared" ref="E79:F81" si="18">SUM(E11,E19,E29,E46,E59)</f>
        <v>1051286</v>
      </c>
      <c r="F79" s="246">
        <f t="shared" si="18"/>
        <v>1048487</v>
      </c>
      <c r="G79" s="247"/>
      <c r="H79" s="248">
        <f>SUM(H11,H19,H29,H46,H59)</f>
        <v>1095540</v>
      </c>
      <c r="I79" s="249">
        <f>H79-E79</f>
        <v>44254</v>
      </c>
      <c r="J79" s="250">
        <f t="shared" ref="J79:J80" si="19">IF(E79=0,"",H79/E79-1)</f>
        <v>4.209511017934231E-2</v>
      </c>
      <c r="K79" s="650"/>
    </row>
    <row r="80" spans="1:11" s="462" customFormat="1" ht="17.100000000000001" customHeight="1" x14ac:dyDescent="0.2">
      <c r="A80" s="563" t="s">
        <v>337</v>
      </c>
      <c r="B80" s="551"/>
      <c r="C80" s="564" t="s">
        <v>163</v>
      </c>
      <c r="D80" s="245"/>
      <c r="E80" s="284">
        <f t="shared" si="18"/>
        <v>366351</v>
      </c>
      <c r="F80" s="246">
        <f t="shared" si="18"/>
        <v>366351</v>
      </c>
      <c r="G80" s="247"/>
      <c r="H80" s="248">
        <f>SUM(H12,H20,H30,H47,H60)</f>
        <v>394406</v>
      </c>
      <c r="I80" s="249">
        <f t="shared" ref="I80" si="20">H80-E80</f>
        <v>28055</v>
      </c>
      <c r="J80" s="250">
        <f t="shared" si="19"/>
        <v>7.6579564406812128E-2</v>
      </c>
      <c r="K80" s="650"/>
    </row>
    <row r="81" spans="1:10" s="253" customFormat="1" ht="17.100000000000001" customHeight="1" x14ac:dyDescent="0.2">
      <c r="A81" s="565" t="s">
        <v>338</v>
      </c>
      <c r="B81" s="566"/>
      <c r="C81" s="567" t="s">
        <v>164</v>
      </c>
      <c r="D81" s="248" t="e">
        <f>SUM(D11,#REF!,D48,D61)</f>
        <v>#REF!</v>
      </c>
      <c r="E81" s="284">
        <f t="shared" si="18"/>
        <v>11503</v>
      </c>
      <c r="F81" s="246">
        <f t="shared" si="18"/>
        <v>19662</v>
      </c>
      <c r="G81" s="650">
        <v>238313</v>
      </c>
      <c r="H81" s="248">
        <f>SUM(H13,H21,H31,H48,H61)</f>
        <v>45502</v>
      </c>
      <c r="I81" s="284">
        <f>H81-E81</f>
        <v>33999</v>
      </c>
      <c r="J81" s="250">
        <f t="shared" ref="J81:J89" si="21">H81/E81-1</f>
        <v>2.9556637398939407</v>
      </c>
    </row>
    <row r="82" spans="1:10" s="253" customFormat="1" ht="17.100000000000001" customHeight="1" x14ac:dyDescent="0.2">
      <c r="A82" s="563" t="s">
        <v>352</v>
      </c>
      <c r="B82" s="551"/>
      <c r="C82" s="564" t="s">
        <v>165</v>
      </c>
      <c r="D82" s="248" t="e">
        <f>SUM(D12,#REF!,#REF!,D52,D62)</f>
        <v>#REF!</v>
      </c>
      <c r="E82" s="284">
        <f>SUM(E49)</f>
        <v>2267</v>
      </c>
      <c r="F82" s="246">
        <f>SUM(F49)</f>
        <v>2267</v>
      </c>
      <c r="G82" s="650">
        <v>329855</v>
      </c>
      <c r="H82" s="248">
        <f>SUM(H49)</f>
        <v>2328</v>
      </c>
      <c r="I82" s="284">
        <f t="shared" ref="I82:I92" si="22">H82-E82</f>
        <v>61</v>
      </c>
      <c r="J82" s="250">
        <f t="shared" si="21"/>
        <v>2.6907807675341955E-2</v>
      </c>
    </row>
    <row r="83" spans="1:10" s="253" customFormat="1" ht="17.100000000000001" customHeight="1" x14ac:dyDescent="0.2">
      <c r="A83" s="563" t="s">
        <v>345</v>
      </c>
      <c r="B83" s="566"/>
      <c r="C83" s="567" t="s">
        <v>179</v>
      </c>
      <c r="D83" s="248" t="e">
        <f>SUM(D13,#REF!,#REF!,D53,D63)</f>
        <v>#REF!</v>
      </c>
      <c r="E83" s="245">
        <f>SUM(E50)</f>
        <v>280</v>
      </c>
      <c r="F83" s="246">
        <f>SUM(F50)</f>
        <v>280</v>
      </c>
      <c r="G83" s="650" t="e">
        <f>#REF!</f>
        <v>#REF!</v>
      </c>
      <c r="H83" s="248">
        <f>SUM(H50)</f>
        <v>280</v>
      </c>
      <c r="I83" s="284">
        <f t="shared" si="22"/>
        <v>0</v>
      </c>
      <c r="J83" s="250">
        <f t="shared" si="21"/>
        <v>0</v>
      </c>
    </row>
    <row r="84" spans="1:10" s="253" customFormat="1" ht="17.100000000000001" customHeight="1" x14ac:dyDescent="0.2">
      <c r="A84" s="568" t="s">
        <v>346</v>
      </c>
      <c r="B84" s="566"/>
      <c r="C84" s="567" t="s">
        <v>314</v>
      </c>
      <c r="D84" s="248" t="e">
        <f>SUM(D14,#REF!,D64)</f>
        <v>#REF!</v>
      </c>
      <c r="E84" s="284">
        <f t="shared" ref="E84:F86" si="23">SUM(E14,E22,E32,E51,E62)</f>
        <v>132851</v>
      </c>
      <c r="F84" s="246">
        <f t="shared" si="23"/>
        <v>132851</v>
      </c>
      <c r="G84" s="650">
        <v>1798</v>
      </c>
      <c r="H84" s="248">
        <f>SUM(H14,H22,H32,H51,H62)</f>
        <v>114124</v>
      </c>
      <c r="I84" s="284">
        <f t="shared" si="22"/>
        <v>-18727</v>
      </c>
      <c r="J84" s="250">
        <f t="shared" si="21"/>
        <v>-0.14096243159629962</v>
      </c>
    </row>
    <row r="85" spans="1:10" s="253" customFormat="1" ht="17.100000000000001" customHeight="1" x14ac:dyDescent="0.2">
      <c r="A85" s="569" t="s">
        <v>347</v>
      </c>
      <c r="B85" s="551"/>
      <c r="C85" s="564" t="s">
        <v>315</v>
      </c>
      <c r="D85" s="248"/>
      <c r="E85" s="284">
        <f t="shared" si="23"/>
        <v>119766</v>
      </c>
      <c r="F85" s="246">
        <f t="shared" si="23"/>
        <v>119766</v>
      </c>
      <c r="G85" s="650"/>
      <c r="H85" s="248">
        <f>SUM(H15,H23,H33,H52,H63)</f>
        <v>107323</v>
      </c>
      <c r="I85" s="284">
        <f t="shared" si="22"/>
        <v>-12443</v>
      </c>
      <c r="J85" s="250">
        <f t="shared" si="21"/>
        <v>-0.10389426047459216</v>
      </c>
    </row>
    <row r="86" spans="1:10" s="253" customFormat="1" ht="17.100000000000001" customHeight="1" x14ac:dyDescent="0.2">
      <c r="A86" s="570" t="s">
        <v>348</v>
      </c>
      <c r="B86" s="566"/>
      <c r="C86" s="567" t="s">
        <v>342</v>
      </c>
      <c r="D86" s="248"/>
      <c r="E86" s="284">
        <f t="shared" si="23"/>
        <v>54877</v>
      </c>
      <c r="F86" s="246">
        <f t="shared" si="23"/>
        <v>55119</v>
      </c>
      <c r="G86" s="650"/>
      <c r="H86" s="248">
        <f>SUM(H16,H24,H34,H53,H64)</f>
        <v>52595</v>
      </c>
      <c r="I86" s="284">
        <f t="shared" si="22"/>
        <v>-2282</v>
      </c>
      <c r="J86" s="250">
        <f t="shared" si="21"/>
        <v>-4.1583905825755774E-2</v>
      </c>
    </row>
    <row r="87" spans="1:10" s="253" customFormat="1" ht="17.100000000000001" customHeight="1" x14ac:dyDescent="0.2">
      <c r="A87" s="563" t="s">
        <v>443</v>
      </c>
      <c r="B87" s="566"/>
      <c r="C87" s="567" t="s">
        <v>261</v>
      </c>
      <c r="D87" s="248"/>
      <c r="E87" s="284">
        <v>0</v>
      </c>
      <c r="F87" s="246">
        <v>0</v>
      </c>
      <c r="G87" s="650"/>
      <c r="H87" s="248">
        <f>H25</f>
        <v>4525</v>
      </c>
      <c r="I87" s="284">
        <f t="shared" si="22"/>
        <v>4525</v>
      </c>
      <c r="J87" s="250"/>
    </row>
    <row r="88" spans="1:10" s="253" customFormat="1" ht="17.100000000000001" customHeight="1" x14ac:dyDescent="0.2">
      <c r="A88" s="669" t="s">
        <v>444</v>
      </c>
      <c r="B88" s="670"/>
      <c r="C88" s="564" t="s">
        <v>179</v>
      </c>
      <c r="D88" s="248"/>
      <c r="E88" s="284">
        <f>SUM(E54)</f>
        <v>20</v>
      </c>
      <c r="F88" s="246">
        <f>SUM(F54)</f>
        <v>20</v>
      </c>
      <c r="G88" s="650"/>
      <c r="H88" s="248">
        <f>SUM(H54)</f>
        <v>20</v>
      </c>
      <c r="I88" s="284">
        <f t="shared" si="22"/>
        <v>0</v>
      </c>
      <c r="J88" s="250">
        <f t="shared" si="21"/>
        <v>0</v>
      </c>
    </row>
    <row r="89" spans="1:10" s="253" customFormat="1" ht="17.100000000000001" customHeight="1" x14ac:dyDescent="0.2">
      <c r="A89" s="563" t="s">
        <v>445</v>
      </c>
      <c r="B89" s="551"/>
      <c r="C89" s="564"/>
      <c r="D89" s="248">
        <f>SUM(D66)</f>
        <v>0</v>
      </c>
      <c r="E89" s="284">
        <f>E65</f>
        <v>140000</v>
      </c>
      <c r="F89" s="246">
        <f>F65</f>
        <v>108937</v>
      </c>
      <c r="G89" s="650">
        <f>F89</f>
        <v>108937</v>
      </c>
      <c r="H89" s="248">
        <f>H65</f>
        <v>70000</v>
      </c>
      <c r="I89" s="284">
        <f t="shared" si="22"/>
        <v>-70000</v>
      </c>
      <c r="J89" s="250">
        <f t="shared" si="21"/>
        <v>-0.5</v>
      </c>
    </row>
    <row r="90" spans="1:10" s="253" customFormat="1" ht="18" customHeight="1" thickBot="1" x14ac:dyDescent="0.25">
      <c r="A90" s="563" t="s">
        <v>353</v>
      </c>
      <c r="B90" s="551"/>
      <c r="C90" s="564" t="s">
        <v>354</v>
      </c>
      <c r="D90" s="248"/>
      <c r="E90" s="284"/>
      <c r="F90" s="246"/>
      <c r="G90" s="650"/>
      <c r="H90" s="248">
        <f>H66</f>
        <v>30000</v>
      </c>
      <c r="I90" s="284">
        <f t="shared" si="22"/>
        <v>30000</v>
      </c>
      <c r="J90" s="250"/>
    </row>
    <row r="91" spans="1:10" s="278" customFormat="1" ht="24.95" customHeight="1" x14ac:dyDescent="0.25">
      <c r="A91" s="571" t="s">
        <v>181</v>
      </c>
      <c r="B91" s="572"/>
      <c r="C91" s="562"/>
      <c r="D91" s="240"/>
      <c r="E91" s="279">
        <f>E92</f>
        <v>865</v>
      </c>
      <c r="F91" s="238">
        <f>F92</f>
        <v>1074</v>
      </c>
      <c r="G91" s="286"/>
      <c r="H91" s="240">
        <f>H92</f>
        <v>1045</v>
      </c>
      <c r="I91" s="279">
        <f>H91-E91</f>
        <v>180</v>
      </c>
      <c r="J91" s="242">
        <f>H91/E91-1</f>
        <v>0.20809248554913284</v>
      </c>
    </row>
    <row r="92" spans="1:10" s="253" customFormat="1" ht="16.5" customHeight="1" thickBot="1" x14ac:dyDescent="0.25">
      <c r="A92" s="563" t="s">
        <v>182</v>
      </c>
      <c r="B92" s="551"/>
      <c r="C92" s="564" t="s">
        <v>183</v>
      </c>
      <c r="D92" s="287"/>
      <c r="E92" s="284">
        <f>E56</f>
        <v>865</v>
      </c>
      <c r="F92" s="246">
        <f>F56</f>
        <v>1074</v>
      </c>
      <c r="G92" s="650"/>
      <c r="H92" s="248">
        <f>H56</f>
        <v>1045</v>
      </c>
      <c r="I92" s="284">
        <f t="shared" si="22"/>
        <v>180</v>
      </c>
      <c r="J92" s="250">
        <f>H92/E92-1</f>
        <v>0.20809248554913284</v>
      </c>
    </row>
    <row r="93" spans="1:10" s="253" customFormat="1" ht="24.95" customHeight="1" thickBot="1" x14ac:dyDescent="0.25">
      <c r="A93" s="573" t="s">
        <v>187</v>
      </c>
      <c r="B93" s="574"/>
      <c r="C93" s="575"/>
      <c r="D93" s="288" t="e">
        <f>SUM(D94:D97)</f>
        <v>#REF!</v>
      </c>
      <c r="E93" s="289">
        <f>SUM(E94:E100)</f>
        <v>2027000</v>
      </c>
      <c r="F93" s="290">
        <f>SUM(F94:F100)</f>
        <v>2097215</v>
      </c>
      <c r="G93" s="291">
        <f t="shared" ref="G93" si="24">SUM(G94:G99)</f>
        <v>1000640</v>
      </c>
      <c r="H93" s="288">
        <f>SUM(H94:H100)</f>
        <v>2246000</v>
      </c>
      <c r="I93" s="289">
        <f>H93-E93</f>
        <v>219000</v>
      </c>
      <c r="J93" s="292">
        <f t="shared" ref="J93:J101" si="25">H93/E93-1</f>
        <v>0.10804144055254072</v>
      </c>
    </row>
    <row r="94" spans="1:10" s="253" customFormat="1" ht="27" x14ac:dyDescent="0.2">
      <c r="A94" s="530" t="s">
        <v>188</v>
      </c>
      <c r="B94" s="436"/>
      <c r="C94" s="293" t="s">
        <v>171</v>
      </c>
      <c r="D94" s="264" t="e">
        <f t="shared" ref="D94:F97" si="26">SUM(D36)</f>
        <v>#REF!</v>
      </c>
      <c r="E94" s="294">
        <f t="shared" si="26"/>
        <v>660000</v>
      </c>
      <c r="F94" s="262">
        <f t="shared" si="26"/>
        <v>712119</v>
      </c>
      <c r="G94" s="656">
        <v>475650</v>
      </c>
      <c r="H94" s="264">
        <f t="shared" ref="H94:H100" si="27">SUM(H36)</f>
        <v>800000</v>
      </c>
      <c r="I94" s="294">
        <f t="shared" ref="I94:I100" si="28">H94-E94</f>
        <v>140000</v>
      </c>
      <c r="J94" s="266">
        <f t="shared" si="25"/>
        <v>0.21212121212121215</v>
      </c>
    </row>
    <row r="95" spans="1:10" s="253" customFormat="1" ht="27" x14ac:dyDescent="0.2">
      <c r="A95" s="530" t="s">
        <v>172</v>
      </c>
      <c r="B95" s="436"/>
      <c r="C95" s="293" t="s">
        <v>173</v>
      </c>
      <c r="D95" s="248" t="e">
        <f t="shared" si="26"/>
        <v>#REF!</v>
      </c>
      <c r="E95" s="294">
        <f t="shared" si="26"/>
        <v>950000</v>
      </c>
      <c r="F95" s="262">
        <f t="shared" si="26"/>
        <v>950000</v>
      </c>
      <c r="G95" s="656">
        <v>462248</v>
      </c>
      <c r="H95" s="264">
        <f t="shared" si="27"/>
        <v>1250000</v>
      </c>
      <c r="I95" s="294">
        <f t="shared" si="28"/>
        <v>300000</v>
      </c>
      <c r="J95" s="266">
        <f t="shared" si="25"/>
        <v>0.31578947368421062</v>
      </c>
    </row>
    <row r="96" spans="1:10" s="253" customFormat="1" ht="17.100000000000001" customHeight="1" x14ac:dyDescent="0.2">
      <c r="A96" s="530" t="s">
        <v>174</v>
      </c>
      <c r="B96" s="436"/>
      <c r="C96" s="285" t="s">
        <v>65</v>
      </c>
      <c r="D96" s="248" t="e">
        <f t="shared" si="26"/>
        <v>#REF!</v>
      </c>
      <c r="E96" s="294">
        <f t="shared" si="26"/>
        <v>24000</v>
      </c>
      <c r="F96" s="262">
        <f t="shared" si="26"/>
        <v>36054</v>
      </c>
      <c r="G96" s="650">
        <v>25000</v>
      </c>
      <c r="H96" s="264">
        <f t="shared" si="27"/>
        <v>35000</v>
      </c>
      <c r="I96" s="284">
        <f t="shared" si="28"/>
        <v>11000</v>
      </c>
      <c r="J96" s="250">
        <f t="shared" si="25"/>
        <v>0.45833333333333326</v>
      </c>
    </row>
    <row r="97" spans="1:10" s="253" customFormat="1" ht="17.100000000000001" customHeight="1" x14ac:dyDescent="0.2">
      <c r="A97" s="531" t="s">
        <v>175</v>
      </c>
      <c r="B97" s="437"/>
      <c r="C97" s="285" t="s">
        <v>67</v>
      </c>
      <c r="D97" s="248" t="e">
        <f t="shared" si="26"/>
        <v>#REF!</v>
      </c>
      <c r="E97" s="294">
        <f t="shared" si="26"/>
        <v>255000</v>
      </c>
      <c r="F97" s="262">
        <f t="shared" si="26"/>
        <v>255000</v>
      </c>
      <c r="G97" s="650">
        <v>37742</v>
      </c>
      <c r="H97" s="264">
        <f t="shared" si="27"/>
        <v>0</v>
      </c>
      <c r="I97" s="284">
        <f t="shared" si="28"/>
        <v>-255000</v>
      </c>
      <c r="J97" s="250">
        <f t="shared" si="25"/>
        <v>-1</v>
      </c>
    </row>
    <row r="98" spans="1:10" s="253" customFormat="1" ht="17.100000000000001" customHeight="1" x14ac:dyDescent="0.2">
      <c r="A98" s="251" t="s">
        <v>176</v>
      </c>
      <c r="B98" s="652"/>
      <c r="C98" s="285" t="s">
        <v>69</v>
      </c>
      <c r="D98" s="248"/>
      <c r="E98" s="294">
        <f t="shared" ref="E98:F100" si="29">SUM(E40)</f>
        <v>40000</v>
      </c>
      <c r="F98" s="262">
        <f t="shared" si="29"/>
        <v>43758</v>
      </c>
      <c r="G98" s="650"/>
      <c r="H98" s="264">
        <f t="shared" si="27"/>
        <v>46000</v>
      </c>
      <c r="I98" s="284">
        <f t="shared" si="28"/>
        <v>6000</v>
      </c>
      <c r="J98" s="250">
        <f t="shared" si="25"/>
        <v>0.14999999999999991</v>
      </c>
    </row>
    <row r="99" spans="1:10" s="253" customFormat="1" ht="17.100000000000001" customHeight="1" x14ac:dyDescent="0.2">
      <c r="A99" s="251" t="s">
        <v>177</v>
      </c>
      <c r="B99" s="652"/>
      <c r="C99" s="295" t="s">
        <v>71</v>
      </c>
      <c r="D99" s="248"/>
      <c r="E99" s="294">
        <f t="shared" si="29"/>
        <v>43000</v>
      </c>
      <c r="F99" s="262">
        <f t="shared" si="29"/>
        <v>45284</v>
      </c>
      <c r="G99" s="650"/>
      <c r="H99" s="264">
        <f t="shared" si="27"/>
        <v>45000</v>
      </c>
      <c r="I99" s="284">
        <f t="shared" si="28"/>
        <v>2000</v>
      </c>
      <c r="J99" s="250">
        <f t="shared" si="25"/>
        <v>4.6511627906976827E-2</v>
      </c>
    </row>
    <row r="100" spans="1:10" s="253" customFormat="1" ht="17.100000000000001" customHeight="1" thickBot="1" x14ac:dyDescent="0.25">
      <c r="A100" s="251" t="s">
        <v>316</v>
      </c>
      <c r="B100" s="652"/>
      <c r="C100" s="295" t="s">
        <v>92</v>
      </c>
      <c r="D100" s="248"/>
      <c r="E100" s="294">
        <f t="shared" si="29"/>
        <v>55000</v>
      </c>
      <c r="F100" s="262">
        <f t="shared" si="29"/>
        <v>55000</v>
      </c>
      <c r="G100" s="650"/>
      <c r="H100" s="264">
        <f t="shared" si="27"/>
        <v>70000</v>
      </c>
      <c r="I100" s="284">
        <f t="shared" si="28"/>
        <v>15000</v>
      </c>
      <c r="J100" s="250">
        <f t="shared" si="25"/>
        <v>0.27272727272727271</v>
      </c>
    </row>
    <row r="101" spans="1:10" s="300" customFormat="1" ht="29.25" customHeight="1" thickTop="1" thickBot="1" x14ac:dyDescent="0.3">
      <c r="A101" s="271" t="s">
        <v>186</v>
      </c>
      <c r="B101" s="432"/>
      <c r="C101" s="296"/>
      <c r="D101" s="297" t="e">
        <f>SUM(D77,D93)</f>
        <v>#REF!</v>
      </c>
      <c r="E101" s="298">
        <f>SUM(E77,E93,E91)</f>
        <v>4429617</v>
      </c>
      <c r="F101" s="272">
        <f>SUM(F77,F93,F91)</f>
        <v>4518697</v>
      </c>
      <c r="G101" s="272" t="e">
        <f>SUM(G77,G93)</f>
        <v>#REF!</v>
      </c>
      <c r="H101" s="297">
        <f>SUM(H77,H93,H91)</f>
        <v>4713202</v>
      </c>
      <c r="I101" s="298">
        <f>H101-E101</f>
        <v>283585</v>
      </c>
      <c r="J101" s="299">
        <f t="shared" si="25"/>
        <v>6.4020207616143798E-2</v>
      </c>
    </row>
    <row r="102" spans="1:10" s="462" customFormat="1" x14ac:dyDescent="0.2">
      <c r="B102" s="601"/>
      <c r="C102" s="601"/>
      <c r="D102" s="601"/>
    </row>
    <row r="103" spans="1:10" s="462" customFormat="1" x14ac:dyDescent="0.2">
      <c r="B103" s="601"/>
      <c r="C103" s="601"/>
      <c r="D103" s="601"/>
    </row>
    <row r="104" spans="1:10" x14ac:dyDescent="0.2">
      <c r="H104" s="464"/>
    </row>
    <row r="107" spans="1:10" ht="15" customHeight="1" x14ac:dyDescent="0.2">
      <c r="A107" s="928" t="s">
        <v>234</v>
      </c>
      <c r="B107" s="928"/>
      <c r="C107" s="928"/>
      <c r="D107" s="418" t="e">
        <f>SUM(#REF!)</f>
        <v>#REF!</v>
      </c>
      <c r="E107" s="418">
        <f>SUM(E77,E93)</f>
        <v>4428752</v>
      </c>
      <c r="F107" s="418">
        <f>SUM(F77,F93)</f>
        <v>4517623</v>
      </c>
      <c r="G107" s="418" t="e">
        <f>SUM(G77,G93)</f>
        <v>#REF!</v>
      </c>
      <c r="H107" s="418">
        <f>SUM(H77,H93)</f>
        <v>4712157</v>
      </c>
    </row>
    <row r="108" spans="1:10" ht="15" customHeight="1" x14ac:dyDescent="0.2">
      <c r="A108" s="928" t="s">
        <v>233</v>
      </c>
      <c r="B108" s="928"/>
      <c r="C108" s="928"/>
      <c r="D108" s="418">
        <v>0</v>
      </c>
      <c r="E108" s="418">
        <f>SUM(E92)</f>
        <v>865</v>
      </c>
      <c r="F108" s="418">
        <f>SUM(F92)</f>
        <v>1074</v>
      </c>
      <c r="G108" s="418">
        <f>SUM(G92)</f>
        <v>0</v>
      </c>
      <c r="H108" s="418">
        <f>SUM(H92)</f>
        <v>1045</v>
      </c>
    </row>
    <row r="109" spans="1:10" ht="15" x14ac:dyDescent="0.25">
      <c r="A109" s="933" t="s">
        <v>210</v>
      </c>
      <c r="B109" s="933"/>
      <c r="C109" s="933"/>
      <c r="D109" s="499" t="e">
        <f>SUM(D107:D108)</f>
        <v>#REF!</v>
      </c>
      <c r="E109" s="499">
        <f t="shared" ref="E109:H109" si="30">SUM(E107:E108)</f>
        <v>4429617</v>
      </c>
      <c r="F109" s="499">
        <f t="shared" si="30"/>
        <v>4518697</v>
      </c>
      <c r="G109" s="499" t="e">
        <f t="shared" si="30"/>
        <v>#REF!</v>
      </c>
      <c r="H109" s="499">
        <f t="shared" si="30"/>
        <v>4713202</v>
      </c>
    </row>
  </sheetData>
  <sheetProtection selectLockedCells="1"/>
  <mergeCells count="27">
    <mergeCell ref="A108:C108"/>
    <mergeCell ref="A109:C109"/>
    <mergeCell ref="G74:G75"/>
    <mergeCell ref="H74:H75"/>
    <mergeCell ref="I74:I75"/>
    <mergeCell ref="J74:J75"/>
    <mergeCell ref="A107:C107"/>
    <mergeCell ref="A74:A75"/>
    <mergeCell ref="C74:C75"/>
    <mergeCell ref="D74:D75"/>
    <mergeCell ref="E74:E75"/>
    <mergeCell ref="F74:F75"/>
    <mergeCell ref="E73:G73"/>
    <mergeCell ref="I73:J73"/>
    <mergeCell ref="I4:J4"/>
    <mergeCell ref="E5:G5"/>
    <mergeCell ref="I5:J5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rstPageNumber="13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  <rowBreaks count="1" manualBreakCount="1">
    <brk id="10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FF"/>
  </sheetPr>
  <dimension ref="A1:AL85"/>
  <sheetViews>
    <sheetView showGridLines="0" view="pageBreakPreview" zoomScaleNormal="100" zoomScaleSheetLayoutView="100" workbookViewId="0">
      <selection activeCell="B14" sqref="B14:E15"/>
    </sheetView>
  </sheetViews>
  <sheetFormatPr defaultColWidth="9.140625" defaultRowHeight="12.75" x14ac:dyDescent="0.2"/>
  <cols>
    <col min="1" max="1" width="8.5703125" style="151" customWidth="1"/>
    <col min="2" max="2" width="9.140625" style="151" customWidth="1"/>
    <col min="3" max="3" width="51.85546875" style="151" customWidth="1"/>
    <col min="4" max="5" width="14.42578125" style="151" customWidth="1"/>
    <col min="6" max="6" width="14.28515625" style="151" customWidth="1"/>
    <col min="7" max="7" width="8.28515625" style="151" customWidth="1"/>
    <col min="8" max="8" width="9.140625" style="452"/>
    <col min="9" max="9" width="8.5703125" style="452" customWidth="1"/>
    <col min="10" max="16384" width="9.140625" style="151"/>
  </cols>
  <sheetData>
    <row r="1" spans="1:38" ht="20.25" x14ac:dyDescent="0.3">
      <c r="A1" s="602" t="s">
        <v>447</v>
      </c>
    </row>
    <row r="3" spans="1:38" ht="26.25" customHeight="1" x14ac:dyDescent="0.2">
      <c r="A3" s="936" t="s">
        <v>17</v>
      </c>
      <c r="B3" s="937"/>
      <c r="C3" s="937"/>
      <c r="D3" s="438"/>
      <c r="E3" s="438"/>
      <c r="F3" s="438"/>
      <c r="G3" s="438" t="s">
        <v>194</v>
      </c>
    </row>
    <row r="4" spans="1:38" ht="14.25" x14ac:dyDescent="0.2">
      <c r="A4" s="439" t="s">
        <v>193</v>
      </c>
      <c r="B4" s="576" t="s">
        <v>448</v>
      </c>
      <c r="D4" s="440"/>
      <c r="E4" s="440"/>
      <c r="F4" s="440"/>
      <c r="G4" s="440"/>
    </row>
    <row r="5" spans="1:38" ht="14.25" x14ac:dyDescent="0.2">
      <c r="A5" s="439"/>
      <c r="B5" s="576" t="s">
        <v>449</v>
      </c>
      <c r="D5" s="440"/>
      <c r="E5" s="440"/>
      <c r="F5" s="440"/>
      <c r="G5" s="440"/>
    </row>
    <row r="6" spans="1:38" ht="13.5" thickBot="1" x14ac:dyDescent="0.25">
      <c r="A6" s="441"/>
      <c r="B6" s="441"/>
      <c r="C6" s="441"/>
      <c r="D6" s="441"/>
      <c r="E6" s="441"/>
      <c r="F6" s="441"/>
      <c r="G6" s="441" t="s">
        <v>0</v>
      </c>
    </row>
    <row r="7" spans="1:38" ht="39.75" thickTop="1" thickBot="1" x14ac:dyDescent="0.25">
      <c r="A7" s="319" t="s">
        <v>97</v>
      </c>
      <c r="B7" s="320" t="s">
        <v>192</v>
      </c>
      <c r="C7" s="321" t="s">
        <v>99</v>
      </c>
      <c r="D7" s="110" t="s">
        <v>371</v>
      </c>
      <c r="E7" s="110" t="s">
        <v>382</v>
      </c>
      <c r="F7" s="110" t="s">
        <v>383</v>
      </c>
      <c r="G7" s="111" t="s">
        <v>2</v>
      </c>
      <c r="H7" s="318"/>
      <c r="I7" s="318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328" customFormat="1" thickTop="1" thickBot="1" x14ac:dyDescent="0.25">
      <c r="A8" s="323">
        <v>1</v>
      </c>
      <c r="B8" s="324">
        <v>2</v>
      </c>
      <c r="C8" s="324">
        <v>3</v>
      </c>
      <c r="D8" s="325">
        <v>4</v>
      </c>
      <c r="E8" s="325">
        <v>5</v>
      </c>
      <c r="F8" s="325">
        <v>6</v>
      </c>
      <c r="G8" s="326" t="s">
        <v>100</v>
      </c>
      <c r="H8" s="672"/>
      <c r="I8" s="672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</row>
    <row r="9" spans="1:38" ht="15" thickTop="1" x14ac:dyDescent="0.2">
      <c r="A9" s="310">
        <v>6113</v>
      </c>
      <c r="B9" s="309">
        <v>51</v>
      </c>
      <c r="C9" s="308" t="s">
        <v>355</v>
      </c>
      <c r="D9" s="442">
        <f>SUM(H19)</f>
        <v>311</v>
      </c>
      <c r="E9" s="442">
        <f>SUM(I19)</f>
        <v>391</v>
      </c>
      <c r="F9" s="442">
        <f>F19</f>
        <v>400</v>
      </c>
      <c r="G9" s="443">
        <f t="shared" ref="G9:G15" si="0">F9/D9*100</f>
        <v>128.61736334405145</v>
      </c>
    </row>
    <row r="10" spans="1:38" ht="27.75" customHeight="1" x14ac:dyDescent="0.2">
      <c r="A10" s="444">
        <v>6113</v>
      </c>
      <c r="B10" s="445">
        <v>54</v>
      </c>
      <c r="C10" s="671" t="s">
        <v>356</v>
      </c>
      <c r="D10" s="446">
        <f>SUM(H30)</f>
        <v>73</v>
      </c>
      <c r="E10" s="446">
        <f>SUM(I30)</f>
        <v>93</v>
      </c>
      <c r="F10" s="446">
        <f>F30</f>
        <v>90</v>
      </c>
      <c r="G10" s="443">
        <f t="shared" si="0"/>
        <v>123.28767123287672</v>
      </c>
    </row>
    <row r="11" spans="1:38" s="674" customFormat="1" ht="14.25" x14ac:dyDescent="0.2">
      <c r="A11" s="444">
        <v>6113</v>
      </c>
      <c r="B11" s="445">
        <v>59</v>
      </c>
      <c r="C11" s="671" t="s">
        <v>191</v>
      </c>
      <c r="D11" s="446">
        <f>SUM(H36)</f>
        <v>100</v>
      </c>
      <c r="E11" s="446">
        <f>SUM(I36)</f>
        <v>100</v>
      </c>
      <c r="F11" s="446">
        <f>F36</f>
        <v>219</v>
      </c>
      <c r="G11" s="443">
        <f t="shared" si="0"/>
        <v>219</v>
      </c>
      <c r="H11" s="452"/>
      <c r="I11" s="673"/>
    </row>
    <row r="12" spans="1:38" ht="14.25" x14ac:dyDescent="0.2">
      <c r="A12" s="444">
        <v>6172</v>
      </c>
      <c r="B12" s="445">
        <v>50</v>
      </c>
      <c r="C12" s="671" t="s">
        <v>357</v>
      </c>
      <c r="D12" s="446">
        <f>SUM(H39)</f>
        <v>20</v>
      </c>
      <c r="E12" s="446">
        <f>SUM(I39)</f>
        <v>20</v>
      </c>
      <c r="F12" s="446">
        <f>F39</f>
        <v>20</v>
      </c>
      <c r="G12" s="443">
        <f t="shared" si="0"/>
        <v>100</v>
      </c>
    </row>
    <row r="13" spans="1:38" ht="14.25" x14ac:dyDescent="0.2">
      <c r="A13" s="444">
        <v>6172</v>
      </c>
      <c r="B13" s="445">
        <v>51</v>
      </c>
      <c r="C13" s="671" t="s">
        <v>355</v>
      </c>
      <c r="D13" s="446">
        <f>SUM(H43)</f>
        <v>10083</v>
      </c>
      <c r="E13" s="446">
        <f>SUM(I43)</f>
        <v>17156</v>
      </c>
      <c r="F13" s="446">
        <f>F43</f>
        <v>12589</v>
      </c>
      <c r="G13" s="443">
        <f t="shared" si="0"/>
        <v>124.85371417236935</v>
      </c>
    </row>
    <row r="14" spans="1:38" ht="29.25" customHeight="1" thickBot="1" x14ac:dyDescent="0.25">
      <c r="A14" s="447">
        <v>6172</v>
      </c>
      <c r="B14" s="448">
        <v>54</v>
      </c>
      <c r="C14" s="449" t="s">
        <v>356</v>
      </c>
      <c r="D14" s="450">
        <f>SUM(H69)</f>
        <v>2830</v>
      </c>
      <c r="E14" s="450">
        <f>SUM(I69)</f>
        <v>3430</v>
      </c>
      <c r="F14" s="450">
        <f>F69</f>
        <v>2520</v>
      </c>
      <c r="G14" s="451">
        <f t="shared" si="0"/>
        <v>89.045936395759711</v>
      </c>
    </row>
    <row r="15" spans="1:38" ht="16.5" thickTop="1" thickBot="1" x14ac:dyDescent="0.25">
      <c r="A15" s="307" t="s">
        <v>106</v>
      </c>
      <c r="B15" s="306"/>
      <c r="C15" s="305"/>
      <c r="D15" s="304">
        <f>SUM(D9:D14)</f>
        <v>13417</v>
      </c>
      <c r="E15" s="304">
        <f>SUM(E9:E14)</f>
        <v>21190</v>
      </c>
      <c r="F15" s="304">
        <f>SUM(F9:F14)</f>
        <v>15838</v>
      </c>
      <c r="G15" s="303">
        <f t="shared" si="0"/>
        <v>118.04427219199522</v>
      </c>
      <c r="J15" s="452"/>
      <c r="K15" s="452"/>
    </row>
    <row r="16" spans="1:38" s="674" customFormat="1" ht="13.5" thickTop="1" x14ac:dyDescent="0.2">
      <c r="C16" s="675"/>
      <c r="D16" s="675"/>
      <c r="E16" s="675"/>
      <c r="F16" s="675"/>
      <c r="H16" s="673"/>
      <c r="I16" s="673"/>
    </row>
    <row r="17" spans="1:11" s="674" customFormat="1" ht="15" hidden="1" x14ac:dyDescent="0.25">
      <c r="A17" s="454" t="s">
        <v>190</v>
      </c>
      <c r="C17" s="675"/>
      <c r="D17" s="675"/>
      <c r="E17" s="675"/>
      <c r="F17" s="675"/>
      <c r="H17" s="673"/>
      <c r="I17" s="673"/>
    </row>
    <row r="18" spans="1:11" s="674" customFormat="1" hidden="1" x14ac:dyDescent="0.2">
      <c r="A18" s="151"/>
      <c r="B18" s="151"/>
      <c r="C18" s="453"/>
      <c r="D18" s="453"/>
      <c r="E18" s="453"/>
      <c r="F18" s="453"/>
      <c r="G18" s="151"/>
      <c r="H18" s="452"/>
      <c r="I18" s="452"/>
      <c r="J18" s="151"/>
      <c r="K18" s="151"/>
    </row>
    <row r="19" spans="1:11" s="422" customFormat="1" ht="15.75" hidden="1" thickBot="1" x14ac:dyDescent="0.3">
      <c r="A19" s="302" t="s">
        <v>450</v>
      </c>
      <c r="B19" s="302"/>
      <c r="C19" s="301"/>
      <c r="D19" s="301"/>
      <c r="E19" s="301"/>
      <c r="F19" s="938">
        <f>SUM(F20,F23,F27)</f>
        <v>400</v>
      </c>
      <c r="G19" s="938"/>
      <c r="H19" s="676">
        <f>SUM(H20:H27)</f>
        <v>311</v>
      </c>
      <c r="I19" s="676">
        <f>SUM(I20:I27)</f>
        <v>391</v>
      </c>
      <c r="J19" s="462"/>
      <c r="K19" s="462"/>
    </row>
    <row r="20" spans="1:11" s="462" customFormat="1" ht="15.75" hidden="1" thickTop="1" x14ac:dyDescent="0.25">
      <c r="A20" s="677" t="s">
        <v>451</v>
      </c>
      <c r="B20" s="677"/>
      <c r="C20" s="678"/>
      <c r="D20" s="678"/>
      <c r="E20" s="678"/>
      <c r="F20" s="939">
        <v>10</v>
      </c>
      <c r="G20" s="940"/>
      <c r="H20" s="464">
        <v>10</v>
      </c>
      <c r="I20" s="464">
        <v>10</v>
      </c>
    </row>
    <row r="21" spans="1:11" s="462" customFormat="1" ht="14.25" hidden="1" x14ac:dyDescent="0.2">
      <c r="A21" s="941" t="s">
        <v>452</v>
      </c>
      <c r="B21" s="942"/>
      <c r="C21" s="942"/>
      <c r="D21" s="942"/>
      <c r="E21" s="942"/>
      <c r="F21" s="942"/>
      <c r="G21" s="942"/>
      <c r="H21" s="464"/>
      <c r="I21" s="464"/>
    </row>
    <row r="22" spans="1:11" s="462" customFormat="1" ht="12" hidden="1" customHeight="1" x14ac:dyDescent="0.2">
      <c r="A22" s="679"/>
      <c r="B22" s="680"/>
      <c r="C22" s="680"/>
      <c r="D22" s="680"/>
      <c r="E22" s="680"/>
      <c r="F22" s="680"/>
      <c r="G22" s="680"/>
      <c r="H22" s="464"/>
      <c r="I22" s="464"/>
    </row>
    <row r="23" spans="1:11" s="674" customFormat="1" ht="15" hidden="1" x14ac:dyDescent="0.25">
      <c r="A23" s="677" t="s">
        <v>453</v>
      </c>
      <c r="B23" s="677"/>
      <c r="C23" s="678"/>
      <c r="D23" s="678"/>
      <c r="E23" s="678"/>
      <c r="F23" s="939">
        <v>370</v>
      </c>
      <c r="G23" s="940"/>
      <c r="H23" s="452">
        <v>301</v>
      </c>
      <c r="I23" s="452">
        <v>355</v>
      </c>
      <c r="J23" s="452"/>
      <c r="K23" s="452"/>
    </row>
    <row r="24" spans="1:11" s="674" customFormat="1" ht="16.5" hidden="1" customHeight="1" x14ac:dyDescent="0.2">
      <c r="A24" s="943" t="s">
        <v>454</v>
      </c>
      <c r="B24" s="943"/>
      <c r="C24" s="943"/>
      <c r="D24" s="943"/>
      <c r="E24" s="943"/>
      <c r="F24" s="943"/>
      <c r="G24" s="943"/>
      <c r="H24" s="452"/>
      <c r="I24" s="452"/>
      <c r="J24" s="151"/>
      <c r="K24" s="151"/>
    </row>
    <row r="25" spans="1:11" s="674" customFormat="1" ht="33" hidden="1" customHeight="1" x14ac:dyDescent="0.2">
      <c r="A25" s="943"/>
      <c r="B25" s="943"/>
      <c r="C25" s="943"/>
      <c r="D25" s="943"/>
      <c r="E25" s="943"/>
      <c r="F25" s="943"/>
      <c r="G25" s="943"/>
      <c r="H25" s="452"/>
      <c r="I25" s="452"/>
      <c r="J25" s="151"/>
      <c r="K25" s="151"/>
    </row>
    <row r="26" spans="1:11" s="674" customFormat="1" ht="14.25" hidden="1" customHeight="1" x14ac:dyDescent="0.2">
      <c r="A26" s="681"/>
      <c r="B26" s="681"/>
      <c r="C26" s="681"/>
      <c r="D26" s="681"/>
      <c r="E26" s="681"/>
      <c r="F26" s="681"/>
      <c r="G26" s="681"/>
      <c r="H26" s="452"/>
      <c r="I26" s="452"/>
      <c r="J26" s="151"/>
      <c r="K26" s="151"/>
    </row>
    <row r="27" spans="1:11" s="674" customFormat="1" ht="15" hidden="1" customHeight="1" x14ac:dyDescent="0.25">
      <c r="A27" s="677" t="s">
        <v>455</v>
      </c>
      <c r="B27" s="677"/>
      <c r="C27" s="678"/>
      <c r="D27" s="678"/>
      <c r="E27" s="678"/>
      <c r="F27" s="939">
        <v>20</v>
      </c>
      <c r="G27" s="940"/>
      <c r="H27" s="452">
        <v>0</v>
      </c>
      <c r="I27" s="452">
        <v>26</v>
      </c>
      <c r="J27" s="151"/>
    </row>
    <row r="28" spans="1:11" s="674" customFormat="1" ht="15" hidden="1" customHeight="1" x14ac:dyDescent="0.2">
      <c r="A28" s="941" t="s">
        <v>456</v>
      </c>
      <c r="B28" s="942"/>
      <c r="C28" s="942"/>
      <c r="D28" s="942"/>
      <c r="E28" s="942"/>
      <c r="F28" s="942"/>
      <c r="G28" s="942"/>
      <c r="H28" s="452"/>
      <c r="I28" s="452"/>
      <c r="J28" s="151"/>
    </row>
    <row r="29" spans="1:11" s="674" customFormat="1" ht="16.5" hidden="1" customHeight="1" x14ac:dyDescent="0.2">
      <c r="A29" s="941" t="s">
        <v>457</v>
      </c>
      <c r="B29" s="942"/>
      <c r="C29" s="942"/>
      <c r="D29" s="942"/>
      <c r="E29" s="942"/>
      <c r="F29" s="942"/>
      <c r="G29" s="942"/>
      <c r="H29" s="452"/>
      <c r="I29" s="452"/>
      <c r="J29" s="151"/>
    </row>
    <row r="30" spans="1:11" s="422" customFormat="1" ht="15.75" hidden="1" thickBot="1" x14ac:dyDescent="0.3">
      <c r="A30" s="302" t="s">
        <v>458</v>
      </c>
      <c r="B30" s="302"/>
      <c r="C30" s="301"/>
      <c r="D30" s="301"/>
      <c r="E30" s="301"/>
      <c r="F30" s="938">
        <f>SUM(F31,F34)</f>
        <v>90</v>
      </c>
      <c r="G30" s="938"/>
      <c r="H30" s="676">
        <v>73</v>
      </c>
      <c r="I30" s="676">
        <v>93</v>
      </c>
      <c r="J30" s="462"/>
      <c r="K30" s="462"/>
    </row>
    <row r="31" spans="1:11" s="674" customFormat="1" ht="15.75" hidden="1" thickTop="1" x14ac:dyDescent="0.25">
      <c r="A31" s="677" t="s">
        <v>459</v>
      </c>
      <c r="B31" s="677"/>
      <c r="C31" s="678"/>
      <c r="D31" s="678"/>
      <c r="E31" s="678"/>
      <c r="F31" s="939">
        <v>70</v>
      </c>
      <c r="G31" s="940"/>
      <c r="H31" s="452"/>
      <c r="I31" s="452"/>
      <c r="J31" s="151"/>
      <c r="K31" s="151"/>
    </row>
    <row r="32" spans="1:11" s="674" customFormat="1" ht="31.5" hidden="1" customHeight="1" x14ac:dyDescent="0.2">
      <c r="A32" s="943" t="s">
        <v>460</v>
      </c>
      <c r="B32" s="944"/>
      <c r="C32" s="944"/>
      <c r="D32" s="944"/>
      <c r="E32" s="944"/>
      <c r="F32" s="944"/>
      <c r="G32" s="944"/>
      <c r="H32" s="452"/>
      <c r="I32" s="452"/>
      <c r="J32" s="151"/>
      <c r="K32" s="151"/>
    </row>
    <row r="33" spans="1:11" s="674" customFormat="1" ht="15" hidden="1" customHeight="1" x14ac:dyDescent="0.2">
      <c r="A33" s="681"/>
      <c r="B33" s="682"/>
      <c r="C33" s="682"/>
      <c r="D33" s="682"/>
      <c r="E33" s="682"/>
      <c r="F33" s="682"/>
      <c r="G33" s="682"/>
      <c r="H33" s="452"/>
      <c r="I33" s="452"/>
      <c r="J33" s="151"/>
      <c r="K33" s="151"/>
    </row>
    <row r="34" spans="1:11" s="674" customFormat="1" ht="15" hidden="1" x14ac:dyDescent="0.25">
      <c r="A34" s="677" t="s">
        <v>459</v>
      </c>
      <c r="B34" s="682"/>
      <c r="C34" s="682"/>
      <c r="D34" s="682"/>
      <c r="E34" s="682"/>
      <c r="F34" s="939">
        <v>20</v>
      </c>
      <c r="G34" s="940"/>
      <c r="H34" s="452"/>
      <c r="I34" s="452"/>
      <c r="J34" s="151"/>
      <c r="K34" s="151"/>
    </row>
    <row r="35" spans="1:11" s="674" customFormat="1" ht="15" hidden="1" customHeight="1" x14ac:dyDescent="0.2">
      <c r="A35" s="683"/>
      <c r="B35" s="684"/>
      <c r="C35" s="684"/>
      <c r="D35" s="684"/>
      <c r="E35" s="684"/>
      <c r="F35" s="684"/>
      <c r="G35" s="684"/>
      <c r="H35" s="673"/>
      <c r="I35" s="673"/>
    </row>
    <row r="36" spans="1:11" s="422" customFormat="1" ht="15.75" hidden="1" thickBot="1" x14ac:dyDescent="0.3">
      <c r="A36" s="302" t="s">
        <v>461</v>
      </c>
      <c r="B36" s="302"/>
      <c r="C36" s="301"/>
      <c r="D36" s="301"/>
      <c r="E36" s="301"/>
      <c r="F36" s="938">
        <f>SUM(F37)</f>
        <v>219</v>
      </c>
      <c r="G36" s="938"/>
      <c r="H36" s="676">
        <v>100</v>
      </c>
      <c r="I36" s="676">
        <v>100</v>
      </c>
      <c r="J36" s="462"/>
    </row>
    <row r="37" spans="1:11" s="674" customFormat="1" ht="15.75" hidden="1" thickTop="1" x14ac:dyDescent="0.25">
      <c r="A37" s="677" t="s">
        <v>462</v>
      </c>
      <c r="B37" s="677"/>
      <c r="C37" s="678"/>
      <c r="D37" s="678"/>
      <c r="E37" s="678"/>
      <c r="F37" s="939">
        <f>171+48</f>
        <v>219</v>
      </c>
      <c r="G37" s="940"/>
      <c r="H37" s="452"/>
      <c r="I37" s="452"/>
      <c r="J37" s="151"/>
    </row>
    <row r="38" spans="1:11" s="674" customFormat="1" ht="31.5" hidden="1" customHeight="1" x14ac:dyDescent="0.2">
      <c r="A38" s="943" t="s">
        <v>463</v>
      </c>
      <c r="B38" s="944"/>
      <c r="C38" s="944"/>
      <c r="D38" s="944"/>
      <c r="E38" s="944"/>
      <c r="F38" s="944"/>
      <c r="G38" s="944"/>
      <c r="H38" s="452"/>
      <c r="I38" s="452"/>
      <c r="J38" s="151"/>
    </row>
    <row r="39" spans="1:11" ht="15.95" hidden="1" customHeight="1" thickBot="1" x14ac:dyDescent="0.3">
      <c r="A39" s="302" t="s">
        <v>464</v>
      </c>
      <c r="B39" s="302"/>
      <c r="C39" s="301"/>
      <c r="D39" s="301"/>
      <c r="E39" s="301"/>
      <c r="F39" s="938">
        <f>SUM(F40)</f>
        <v>20</v>
      </c>
      <c r="G39" s="938"/>
      <c r="H39" s="685">
        <v>20</v>
      </c>
      <c r="I39" s="685">
        <v>20</v>
      </c>
    </row>
    <row r="40" spans="1:11" ht="15.95" hidden="1" customHeight="1" thickTop="1" x14ac:dyDescent="0.25">
      <c r="A40" s="686" t="s">
        <v>465</v>
      </c>
      <c r="B40" s="680"/>
      <c r="C40" s="680"/>
      <c r="D40" s="680"/>
      <c r="E40" s="680"/>
      <c r="F40" s="939">
        <v>20</v>
      </c>
      <c r="G40" s="940"/>
    </row>
    <row r="41" spans="1:11" ht="15.95" hidden="1" customHeight="1" x14ac:dyDescent="0.2">
      <c r="A41" s="941" t="s">
        <v>466</v>
      </c>
      <c r="B41" s="941"/>
      <c r="C41" s="941"/>
      <c r="D41" s="941"/>
      <c r="E41" s="941"/>
      <c r="F41" s="941"/>
      <c r="G41" s="941"/>
    </row>
    <row r="42" spans="1:11" s="674" customFormat="1" ht="15.95" hidden="1" customHeight="1" x14ac:dyDescent="0.2">
      <c r="A42" s="683"/>
      <c r="B42" s="684"/>
      <c r="C42" s="684"/>
      <c r="D42" s="684"/>
      <c r="E42" s="684"/>
      <c r="F42" s="684"/>
      <c r="G42" s="684"/>
      <c r="H42" s="673"/>
      <c r="I42" s="673"/>
    </row>
    <row r="43" spans="1:11" s="462" customFormat="1" ht="15.75" hidden="1" thickBot="1" x14ac:dyDescent="0.3">
      <c r="A43" s="302" t="s">
        <v>467</v>
      </c>
      <c r="B43" s="302"/>
      <c r="C43" s="301"/>
      <c r="D43" s="301"/>
      <c r="E43" s="301"/>
      <c r="F43" s="938">
        <f>SUM(F44,F47,F50,F53,F56,F59,F62,F65)</f>
        <v>12589</v>
      </c>
      <c r="G43" s="938"/>
      <c r="H43" s="676">
        <f>SUM(H44:H65)</f>
        <v>10083</v>
      </c>
      <c r="I43" s="676">
        <f t="shared" ref="I43" si="1">SUM(I44:I65)</f>
        <v>17156</v>
      </c>
      <c r="J43" s="687"/>
    </row>
    <row r="44" spans="1:11" s="674" customFormat="1" ht="15.75" hidden="1" thickTop="1" x14ac:dyDescent="0.25">
      <c r="A44" s="677" t="s">
        <v>468</v>
      </c>
      <c r="B44" s="677"/>
      <c r="C44" s="678"/>
      <c r="D44" s="678"/>
      <c r="E44" s="678"/>
      <c r="F44" s="939">
        <v>40</v>
      </c>
      <c r="G44" s="940"/>
      <c r="H44" s="452">
        <v>20</v>
      </c>
      <c r="I44" s="452">
        <v>50</v>
      </c>
      <c r="J44" s="151"/>
      <c r="K44" s="151"/>
    </row>
    <row r="45" spans="1:11" s="674" customFormat="1" ht="15" hidden="1" customHeight="1" x14ac:dyDescent="0.2">
      <c r="A45" s="941" t="s">
        <v>469</v>
      </c>
      <c r="B45" s="942"/>
      <c r="C45" s="942"/>
      <c r="D45" s="942"/>
      <c r="E45" s="942"/>
      <c r="F45" s="942"/>
      <c r="G45" s="942"/>
      <c r="H45" s="452"/>
      <c r="I45" s="452"/>
      <c r="J45" s="151"/>
      <c r="K45" s="151"/>
    </row>
    <row r="46" spans="1:11" s="674" customFormat="1" ht="15" hidden="1" customHeight="1" x14ac:dyDescent="0.2">
      <c r="A46" s="679"/>
      <c r="B46" s="680"/>
      <c r="C46" s="680"/>
      <c r="D46" s="680"/>
      <c r="E46" s="680"/>
      <c r="F46" s="680"/>
      <c r="G46" s="680"/>
      <c r="H46" s="452"/>
      <c r="I46" s="452"/>
      <c r="J46" s="151"/>
      <c r="K46" s="151"/>
    </row>
    <row r="47" spans="1:11" ht="15" hidden="1" customHeight="1" x14ac:dyDescent="0.25">
      <c r="A47" s="677" t="s">
        <v>451</v>
      </c>
      <c r="B47" s="677"/>
      <c r="C47" s="678"/>
      <c r="D47" s="678"/>
      <c r="E47" s="678"/>
      <c r="F47" s="939">
        <v>20</v>
      </c>
      <c r="G47" s="940"/>
      <c r="H47" s="452">
        <v>15</v>
      </c>
      <c r="I47" s="452">
        <v>25</v>
      </c>
    </row>
    <row r="48" spans="1:11" ht="29.25" hidden="1" customHeight="1" x14ac:dyDescent="0.2">
      <c r="A48" s="941" t="s">
        <v>470</v>
      </c>
      <c r="B48" s="942"/>
      <c r="C48" s="942"/>
      <c r="D48" s="942"/>
      <c r="E48" s="942"/>
      <c r="F48" s="942"/>
      <c r="G48" s="942"/>
    </row>
    <row r="49" spans="1:10" s="674" customFormat="1" ht="15" hidden="1" customHeight="1" x14ac:dyDescent="0.2">
      <c r="A49" s="683"/>
      <c r="B49" s="684"/>
      <c r="C49" s="684"/>
      <c r="D49" s="684"/>
      <c r="E49" s="684"/>
      <c r="F49" s="684"/>
      <c r="G49" s="684"/>
      <c r="H49" s="673"/>
      <c r="I49" s="673"/>
    </row>
    <row r="50" spans="1:10" ht="15" hidden="1" customHeight="1" x14ac:dyDescent="0.25">
      <c r="A50" s="677" t="s">
        <v>471</v>
      </c>
      <c r="B50" s="677"/>
      <c r="C50" s="678"/>
      <c r="D50" s="678"/>
      <c r="E50" s="678"/>
      <c r="F50" s="939">
        <v>100</v>
      </c>
      <c r="G50" s="940"/>
      <c r="H50" s="452">
        <v>100</v>
      </c>
      <c r="I50" s="452">
        <v>100</v>
      </c>
    </row>
    <row r="51" spans="1:10" ht="15.75" hidden="1" customHeight="1" x14ac:dyDescent="0.2">
      <c r="A51" s="941" t="s">
        <v>472</v>
      </c>
      <c r="B51" s="942"/>
      <c r="C51" s="942"/>
      <c r="D51" s="942"/>
      <c r="E51" s="942"/>
      <c r="F51" s="942"/>
      <c r="G51" s="942"/>
    </row>
    <row r="52" spans="1:10" s="674" customFormat="1" ht="15" hidden="1" customHeight="1" x14ac:dyDescent="0.2">
      <c r="A52" s="679"/>
      <c r="B52" s="680"/>
      <c r="C52" s="680"/>
      <c r="D52" s="680"/>
      <c r="E52" s="680"/>
      <c r="F52" s="680"/>
      <c r="G52" s="680"/>
      <c r="H52" s="452"/>
      <c r="I52" s="452"/>
    </row>
    <row r="53" spans="1:10" s="674" customFormat="1" ht="15" hidden="1" customHeight="1" x14ac:dyDescent="0.25">
      <c r="A53" s="677" t="s">
        <v>453</v>
      </c>
      <c r="B53" s="677"/>
      <c r="C53" s="678"/>
      <c r="D53" s="678"/>
      <c r="E53" s="678"/>
      <c r="F53" s="939">
        <v>1119</v>
      </c>
      <c r="G53" s="940"/>
      <c r="H53" s="452"/>
      <c r="I53" s="452"/>
    </row>
    <row r="54" spans="1:10" s="674" customFormat="1" ht="15" hidden="1" customHeight="1" x14ac:dyDescent="0.2">
      <c r="A54" s="941" t="s">
        <v>473</v>
      </c>
      <c r="B54" s="942"/>
      <c r="C54" s="942"/>
      <c r="D54" s="942"/>
      <c r="E54" s="942"/>
      <c r="F54" s="942"/>
      <c r="G54" s="942"/>
      <c r="H54" s="452"/>
      <c r="I54" s="452"/>
    </row>
    <row r="55" spans="1:10" s="674" customFormat="1" ht="15" hidden="1" customHeight="1" x14ac:dyDescent="0.2">
      <c r="A55" s="679"/>
      <c r="B55" s="680"/>
      <c r="C55" s="680"/>
      <c r="D55" s="680"/>
      <c r="E55" s="680"/>
      <c r="F55" s="680"/>
      <c r="G55" s="680"/>
      <c r="H55" s="452"/>
      <c r="I55" s="452"/>
    </row>
    <row r="56" spans="1:10" s="674" customFormat="1" ht="15" hidden="1" customHeight="1" x14ac:dyDescent="0.25">
      <c r="A56" s="677" t="s">
        <v>453</v>
      </c>
      <c r="B56" s="677"/>
      <c r="C56" s="678"/>
      <c r="D56" s="678"/>
      <c r="E56" s="678"/>
      <c r="F56" s="939">
        <v>3680</v>
      </c>
      <c r="G56" s="940"/>
      <c r="H56" s="452"/>
      <c r="I56" s="452"/>
    </row>
    <row r="57" spans="1:10" s="674" customFormat="1" ht="17.25" hidden="1" customHeight="1" x14ac:dyDescent="0.2">
      <c r="A57" s="941" t="s">
        <v>474</v>
      </c>
      <c r="B57" s="942"/>
      <c r="C57" s="942"/>
      <c r="D57" s="942"/>
      <c r="E57" s="942"/>
      <c r="F57" s="942"/>
      <c r="G57" s="942"/>
      <c r="H57" s="452"/>
      <c r="I57" s="452"/>
    </row>
    <row r="58" spans="1:10" s="674" customFormat="1" ht="17.25" hidden="1" customHeight="1" x14ac:dyDescent="0.2">
      <c r="A58" s="679"/>
      <c r="B58" s="680"/>
      <c r="C58" s="680"/>
      <c r="D58" s="680"/>
      <c r="E58" s="680"/>
      <c r="F58" s="680"/>
      <c r="G58" s="680"/>
      <c r="H58" s="452"/>
      <c r="I58" s="452"/>
    </row>
    <row r="59" spans="1:10" s="674" customFormat="1" ht="15" hidden="1" customHeight="1" x14ac:dyDescent="0.25">
      <c r="A59" s="677" t="s">
        <v>453</v>
      </c>
      <c r="B59" s="677"/>
      <c r="C59" s="678"/>
      <c r="D59" s="678"/>
      <c r="E59" s="678"/>
      <c r="F59" s="939">
        <f>6576+13</f>
        <v>6589</v>
      </c>
      <c r="G59" s="940"/>
      <c r="H59" s="452">
        <v>8841</v>
      </c>
      <c r="I59" s="452">
        <v>14905</v>
      </c>
    </row>
    <row r="60" spans="1:10" s="674" customFormat="1" ht="15" hidden="1" customHeight="1" x14ac:dyDescent="0.2">
      <c r="A60" s="941" t="s">
        <v>475</v>
      </c>
      <c r="B60" s="942"/>
      <c r="C60" s="942"/>
      <c r="D60" s="942"/>
      <c r="E60" s="942"/>
      <c r="F60" s="942"/>
      <c r="G60" s="942"/>
      <c r="H60" s="673"/>
      <c r="I60" s="673"/>
    </row>
    <row r="61" spans="1:10" s="674" customFormat="1" ht="15" hidden="1" customHeight="1" x14ac:dyDescent="0.2">
      <c r="A61" s="683"/>
      <c r="B61" s="684"/>
      <c r="C61" s="684"/>
      <c r="D61" s="684"/>
      <c r="E61" s="684"/>
      <c r="F61" s="684"/>
      <c r="G61" s="684"/>
      <c r="H61" s="673"/>
      <c r="I61" s="673"/>
    </row>
    <row r="62" spans="1:10" s="674" customFormat="1" ht="15" hidden="1" customHeight="1" x14ac:dyDescent="0.25">
      <c r="A62" s="677" t="s">
        <v>476</v>
      </c>
      <c r="B62" s="677"/>
      <c r="C62" s="678"/>
      <c r="D62" s="678"/>
      <c r="E62" s="678"/>
      <c r="F62" s="939">
        <v>541</v>
      </c>
      <c r="G62" s="940"/>
      <c r="H62" s="452">
        <v>500</v>
      </c>
      <c r="I62" s="452">
        <v>1169</v>
      </c>
      <c r="J62" s="151"/>
    </row>
    <row r="63" spans="1:10" s="674" customFormat="1" ht="15" hidden="1" customHeight="1" x14ac:dyDescent="0.2">
      <c r="A63" s="941" t="s">
        <v>477</v>
      </c>
      <c r="B63" s="942"/>
      <c r="C63" s="942"/>
      <c r="D63" s="942"/>
      <c r="E63" s="942"/>
      <c r="F63" s="942"/>
      <c r="G63" s="942"/>
      <c r="H63" s="452"/>
      <c r="I63" s="452"/>
      <c r="J63" s="151"/>
    </row>
    <row r="64" spans="1:10" s="674" customFormat="1" ht="15" hidden="1" customHeight="1" x14ac:dyDescent="0.25">
      <c r="A64" s="679"/>
      <c r="B64" s="680"/>
      <c r="C64" s="680"/>
      <c r="D64" s="680"/>
      <c r="E64" s="680"/>
      <c r="F64" s="939"/>
      <c r="G64" s="940"/>
      <c r="H64" s="452"/>
      <c r="I64" s="452"/>
      <c r="J64" s="151"/>
    </row>
    <row r="65" spans="1:10" s="674" customFormat="1" ht="15" hidden="1" customHeight="1" x14ac:dyDescent="0.25">
      <c r="A65" s="677" t="s">
        <v>455</v>
      </c>
      <c r="B65" s="677"/>
      <c r="C65" s="678"/>
      <c r="D65" s="678"/>
      <c r="E65" s="678"/>
      <c r="F65" s="939">
        <v>500</v>
      </c>
      <c r="G65" s="940"/>
      <c r="H65" s="452">
        <v>607</v>
      </c>
      <c r="I65" s="452">
        <v>907</v>
      </c>
      <c r="J65" s="151"/>
    </row>
    <row r="66" spans="1:10" s="674" customFormat="1" ht="15" hidden="1" customHeight="1" x14ac:dyDescent="0.2">
      <c r="A66" s="941" t="s">
        <v>478</v>
      </c>
      <c r="B66" s="942"/>
      <c r="C66" s="942"/>
      <c r="D66" s="942"/>
      <c r="E66" s="942"/>
      <c r="F66" s="942"/>
      <c r="G66" s="942"/>
      <c r="H66" s="452"/>
      <c r="I66" s="452"/>
      <c r="J66" s="151"/>
    </row>
    <row r="67" spans="1:10" s="674" customFormat="1" ht="15" hidden="1" customHeight="1" x14ac:dyDescent="0.2">
      <c r="A67" s="679"/>
      <c r="B67" s="680"/>
      <c r="C67" s="680"/>
      <c r="D67" s="680"/>
      <c r="E67" s="680"/>
      <c r="F67" s="680"/>
      <c r="G67" s="680"/>
      <c r="H67" s="452"/>
      <c r="I67" s="452"/>
      <c r="J67" s="151"/>
    </row>
    <row r="68" spans="1:10" s="674" customFormat="1" ht="15" hidden="1" customHeight="1" x14ac:dyDescent="0.2">
      <c r="A68" s="679"/>
      <c r="B68" s="680"/>
      <c r="C68" s="680"/>
      <c r="D68" s="680"/>
      <c r="E68" s="680"/>
      <c r="F68" s="680"/>
      <c r="G68" s="680"/>
      <c r="H68" s="452"/>
      <c r="I68" s="452"/>
      <c r="J68" s="151"/>
    </row>
    <row r="69" spans="1:10" s="422" customFormat="1" ht="15" hidden="1" customHeight="1" thickBot="1" x14ac:dyDescent="0.3">
      <c r="A69" s="302" t="s">
        <v>479</v>
      </c>
      <c r="B69" s="302"/>
      <c r="C69" s="301"/>
      <c r="D69" s="301"/>
      <c r="E69" s="301"/>
      <c r="F69" s="938">
        <f>SUM(F70,F74,F77,F80)</f>
        <v>2520</v>
      </c>
      <c r="G69" s="938"/>
      <c r="H69" s="676">
        <v>2830</v>
      </c>
      <c r="I69" s="676">
        <v>3430</v>
      </c>
      <c r="J69" s="462"/>
    </row>
    <row r="70" spans="1:10" s="674" customFormat="1" ht="15" hidden="1" customHeight="1" thickTop="1" x14ac:dyDescent="0.25">
      <c r="A70" s="677" t="s">
        <v>459</v>
      </c>
      <c r="B70" s="677"/>
      <c r="C70" s="678"/>
      <c r="D70" s="678"/>
      <c r="E70" s="678"/>
      <c r="F70" s="939">
        <v>1800</v>
      </c>
      <c r="G70" s="940"/>
      <c r="H70" s="452"/>
      <c r="I70" s="452"/>
      <c r="J70" s="151"/>
    </row>
    <row r="71" spans="1:10" s="674" customFormat="1" ht="15" hidden="1" customHeight="1" x14ac:dyDescent="0.2">
      <c r="A71" s="943" t="s">
        <v>480</v>
      </c>
      <c r="B71" s="943"/>
      <c r="C71" s="943"/>
      <c r="D71" s="943"/>
      <c r="E71" s="943"/>
      <c r="F71" s="943"/>
      <c r="G71" s="943"/>
      <c r="H71" s="452"/>
      <c r="I71" s="452"/>
      <c r="J71" s="151"/>
    </row>
    <row r="72" spans="1:10" s="674" customFormat="1" ht="15" hidden="1" customHeight="1" x14ac:dyDescent="0.2">
      <c r="A72" s="943"/>
      <c r="B72" s="943"/>
      <c r="C72" s="943"/>
      <c r="D72" s="943"/>
      <c r="E72" s="943"/>
      <c r="F72" s="943"/>
      <c r="G72" s="943"/>
      <c r="H72" s="452"/>
      <c r="I72" s="452"/>
      <c r="J72" s="151"/>
    </row>
    <row r="73" spans="1:10" s="674" customFormat="1" ht="15" hidden="1" customHeight="1" x14ac:dyDescent="0.2">
      <c r="A73" s="679"/>
      <c r="B73" s="680"/>
      <c r="C73" s="680"/>
      <c r="D73" s="680"/>
      <c r="E73" s="680"/>
      <c r="F73" s="680"/>
      <c r="G73" s="680"/>
      <c r="H73" s="452"/>
      <c r="I73" s="452"/>
      <c r="J73" s="151"/>
    </row>
    <row r="74" spans="1:10" s="674" customFormat="1" ht="15" hidden="1" customHeight="1" x14ac:dyDescent="0.25">
      <c r="A74" s="677" t="s">
        <v>459</v>
      </c>
      <c r="B74" s="677"/>
      <c r="C74" s="678"/>
      <c r="D74" s="678"/>
      <c r="E74" s="678"/>
      <c r="F74" s="939">
        <v>300</v>
      </c>
      <c r="G74" s="940"/>
      <c r="H74" s="452"/>
      <c r="I74" s="452"/>
      <c r="J74" s="151"/>
    </row>
    <row r="75" spans="1:10" s="674" customFormat="1" ht="15" hidden="1" customHeight="1" x14ac:dyDescent="0.2">
      <c r="A75" s="941" t="s">
        <v>481</v>
      </c>
      <c r="B75" s="942"/>
      <c r="C75" s="942"/>
      <c r="D75" s="942"/>
      <c r="E75" s="942"/>
      <c r="F75" s="942"/>
      <c r="G75" s="942"/>
      <c r="H75" s="452"/>
      <c r="I75" s="452"/>
      <c r="J75" s="151"/>
    </row>
    <row r="76" spans="1:10" s="674" customFormat="1" ht="15" hidden="1" customHeight="1" x14ac:dyDescent="0.2">
      <c r="A76" s="679"/>
      <c r="B76" s="680"/>
      <c r="C76" s="680"/>
      <c r="D76" s="680"/>
      <c r="E76" s="680"/>
      <c r="F76" s="680"/>
      <c r="G76" s="680"/>
      <c r="H76" s="452"/>
      <c r="I76" s="452"/>
      <c r="J76" s="151"/>
    </row>
    <row r="77" spans="1:10" s="674" customFormat="1" ht="15" hidden="1" customHeight="1" x14ac:dyDescent="0.25">
      <c r="A77" s="677" t="s">
        <v>459</v>
      </c>
      <c r="B77" s="677"/>
      <c r="C77" s="678"/>
      <c r="D77" s="678"/>
      <c r="E77" s="678"/>
      <c r="F77" s="939">
        <v>20</v>
      </c>
      <c r="G77" s="940"/>
      <c r="H77" s="452"/>
      <c r="I77" s="452"/>
      <c r="J77" s="151"/>
    </row>
    <row r="78" spans="1:10" s="674" customFormat="1" ht="15" hidden="1" customHeight="1" x14ac:dyDescent="0.2">
      <c r="A78" s="941" t="s">
        <v>482</v>
      </c>
      <c r="B78" s="942"/>
      <c r="C78" s="942"/>
      <c r="D78" s="942"/>
      <c r="E78" s="942"/>
      <c r="F78" s="942"/>
      <c r="G78" s="942"/>
      <c r="H78" s="452"/>
      <c r="I78" s="452"/>
      <c r="J78" s="151"/>
    </row>
    <row r="79" spans="1:10" s="674" customFormat="1" ht="15" hidden="1" customHeight="1" x14ac:dyDescent="0.2">
      <c r="A79" s="151"/>
      <c r="B79" s="151"/>
      <c r="C79" s="151"/>
      <c r="D79" s="151"/>
      <c r="E79" s="151"/>
      <c r="F79" s="151"/>
      <c r="G79" s="151"/>
      <c r="H79" s="452"/>
      <c r="I79" s="452"/>
      <c r="J79" s="151"/>
    </row>
    <row r="80" spans="1:10" s="674" customFormat="1" ht="15" hidden="1" customHeight="1" x14ac:dyDescent="0.25">
      <c r="A80" s="677" t="s">
        <v>459</v>
      </c>
      <c r="B80" s="677"/>
      <c r="C80" s="678"/>
      <c r="D80" s="678"/>
      <c r="E80" s="678"/>
      <c r="F80" s="939">
        <v>400</v>
      </c>
      <c r="G80" s="940"/>
      <c r="H80" s="452"/>
      <c r="I80" s="452"/>
      <c r="J80" s="151"/>
    </row>
    <row r="81" spans="1:10" s="674" customFormat="1" ht="15" hidden="1" customHeight="1" x14ac:dyDescent="0.2">
      <c r="A81" s="941" t="s">
        <v>483</v>
      </c>
      <c r="B81" s="942"/>
      <c r="C81" s="942"/>
      <c r="D81" s="942"/>
      <c r="E81" s="942"/>
      <c r="F81" s="942"/>
      <c r="G81" s="942"/>
      <c r="H81" s="452"/>
      <c r="I81" s="452"/>
      <c r="J81" s="151"/>
    </row>
    <row r="82" spans="1:10" s="674" customFormat="1" ht="15" customHeight="1" x14ac:dyDescent="0.2">
      <c r="A82" s="151"/>
      <c r="B82" s="151"/>
      <c r="C82" s="151"/>
      <c r="D82" s="151"/>
      <c r="E82" s="151"/>
      <c r="F82" s="151"/>
      <c r="G82" s="151"/>
      <c r="H82" s="452"/>
      <c r="I82" s="452"/>
      <c r="J82" s="151"/>
    </row>
    <row r="83" spans="1:10" s="674" customFormat="1" ht="15" customHeight="1" x14ac:dyDescent="0.2">
      <c r="A83" s="151"/>
      <c r="B83" s="151"/>
      <c r="C83" s="151"/>
      <c r="D83" s="151"/>
      <c r="E83" s="151"/>
      <c r="F83" s="151"/>
      <c r="G83" s="151"/>
      <c r="H83" s="452"/>
      <c r="I83" s="452"/>
      <c r="J83" s="151"/>
    </row>
    <row r="84" spans="1:10" ht="15" customHeight="1" x14ac:dyDescent="0.2"/>
    <row r="85" spans="1:10" ht="15" customHeight="1" x14ac:dyDescent="0.2"/>
  </sheetData>
  <mergeCells count="46">
    <mergeCell ref="A81:G81"/>
    <mergeCell ref="F74:G74"/>
    <mergeCell ref="A75:G75"/>
    <mergeCell ref="F77:G77"/>
    <mergeCell ref="A78:G78"/>
    <mergeCell ref="F80:G80"/>
    <mergeCell ref="F65:G65"/>
    <mergeCell ref="A66:G66"/>
    <mergeCell ref="F69:G69"/>
    <mergeCell ref="F70:G70"/>
    <mergeCell ref="A71:G72"/>
    <mergeCell ref="F59:G59"/>
    <mergeCell ref="A60:G60"/>
    <mergeCell ref="F62:G62"/>
    <mergeCell ref="A63:G63"/>
    <mergeCell ref="F64:G64"/>
    <mergeCell ref="A51:G51"/>
    <mergeCell ref="F53:G53"/>
    <mergeCell ref="A54:G54"/>
    <mergeCell ref="F56:G56"/>
    <mergeCell ref="A57:G57"/>
    <mergeCell ref="F44:G44"/>
    <mergeCell ref="A45:G45"/>
    <mergeCell ref="F47:G47"/>
    <mergeCell ref="A48:G48"/>
    <mergeCell ref="F50:G50"/>
    <mergeCell ref="A38:G38"/>
    <mergeCell ref="F39:G39"/>
    <mergeCell ref="F40:G40"/>
    <mergeCell ref="A41:G41"/>
    <mergeCell ref="F43:G43"/>
    <mergeCell ref="F31:G31"/>
    <mergeCell ref="A32:G32"/>
    <mergeCell ref="F34:G34"/>
    <mergeCell ref="F36:G36"/>
    <mergeCell ref="F37:G37"/>
    <mergeCell ref="A24:G25"/>
    <mergeCell ref="F27:G27"/>
    <mergeCell ref="A28:G28"/>
    <mergeCell ref="A29:G29"/>
    <mergeCell ref="F30:G30"/>
    <mergeCell ref="A3:C3"/>
    <mergeCell ref="F19:G19"/>
    <mergeCell ref="F20:G20"/>
    <mergeCell ref="A21:G21"/>
    <mergeCell ref="F23:G2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14" fitToHeight="9999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FF"/>
  </sheetPr>
  <dimension ref="A1:AH39"/>
  <sheetViews>
    <sheetView showGridLines="0" view="pageBreakPreview" zoomScaleNormal="100" zoomScaleSheetLayoutView="100" workbookViewId="0">
      <selection activeCell="B14" sqref="B14:E15"/>
    </sheetView>
  </sheetViews>
  <sheetFormatPr defaultColWidth="9.140625" defaultRowHeight="12.75" x14ac:dyDescent="0.2"/>
  <cols>
    <col min="1" max="1" width="8.5703125" style="674" customWidth="1"/>
    <col min="2" max="2" width="9.28515625" style="674" customWidth="1"/>
    <col min="3" max="3" width="51.85546875" style="674" customWidth="1"/>
    <col min="4" max="6" width="14.28515625" style="674" customWidth="1"/>
    <col min="7" max="7" width="8.28515625" style="674" customWidth="1"/>
    <col min="8" max="9" width="9.140625" style="674"/>
    <col min="10" max="10" width="9.140625" style="689"/>
    <col min="11" max="16384" width="9.140625" style="674"/>
  </cols>
  <sheetData>
    <row r="1" spans="1:34" s="151" customFormat="1" ht="20.25" x14ac:dyDescent="0.3">
      <c r="A1" s="602" t="s">
        <v>485</v>
      </c>
      <c r="J1" s="314"/>
    </row>
    <row r="2" spans="1:34" s="151" customFormat="1" x14ac:dyDescent="0.2">
      <c r="J2" s="314"/>
    </row>
    <row r="3" spans="1:34" s="151" customFormat="1" ht="24" customHeight="1" x14ac:dyDescent="0.2">
      <c r="A3" s="947" t="s">
        <v>12</v>
      </c>
      <c r="B3" s="947"/>
      <c r="C3" s="947"/>
      <c r="D3" s="947"/>
      <c r="E3" s="947"/>
      <c r="F3" s="438"/>
      <c r="G3" s="438" t="s">
        <v>204</v>
      </c>
      <c r="J3" s="314"/>
    </row>
    <row r="4" spans="1:34" s="151" customFormat="1" x14ac:dyDescent="0.2">
      <c r="A4" s="947"/>
      <c r="B4" s="947"/>
      <c r="C4" s="947"/>
      <c r="D4" s="947"/>
      <c r="E4" s="947"/>
      <c r="J4" s="314"/>
    </row>
    <row r="5" spans="1:34" s="151" customFormat="1" x14ac:dyDescent="0.2">
      <c r="J5" s="314"/>
    </row>
    <row r="6" spans="1:34" s="151" customFormat="1" ht="14.25" x14ac:dyDescent="0.2">
      <c r="A6" s="439" t="s">
        <v>193</v>
      </c>
      <c r="B6" s="576" t="s">
        <v>358</v>
      </c>
      <c r="D6" s="440"/>
      <c r="E6" s="440"/>
      <c r="F6" s="440"/>
      <c r="G6" s="440"/>
      <c r="J6" s="314"/>
    </row>
    <row r="7" spans="1:34" s="151" customFormat="1" ht="14.25" x14ac:dyDescent="0.2">
      <c r="A7" s="439"/>
      <c r="B7" s="439" t="s">
        <v>203</v>
      </c>
      <c r="D7" s="440"/>
      <c r="E7" s="440"/>
      <c r="F7" s="440"/>
      <c r="G7" s="440"/>
      <c r="J7" s="314"/>
    </row>
    <row r="8" spans="1:34" s="151" customFormat="1" ht="13.5" thickBot="1" x14ac:dyDescent="0.25">
      <c r="A8" s="441"/>
      <c r="B8" s="441"/>
      <c r="C8" s="441"/>
      <c r="D8" s="441"/>
      <c r="E8" s="441"/>
      <c r="F8" s="441"/>
      <c r="G8" s="441" t="s">
        <v>0</v>
      </c>
      <c r="J8" s="314"/>
    </row>
    <row r="9" spans="1:34" s="151" customFormat="1" ht="39.75" thickTop="1" thickBot="1" x14ac:dyDescent="0.25">
      <c r="A9" s="480" t="s">
        <v>97</v>
      </c>
      <c r="B9" s="481" t="s">
        <v>108</v>
      </c>
      <c r="C9" s="482" t="s">
        <v>109</v>
      </c>
      <c r="D9" s="110" t="s">
        <v>371</v>
      </c>
      <c r="E9" s="110" t="s">
        <v>382</v>
      </c>
      <c r="F9" s="110" t="s">
        <v>383</v>
      </c>
      <c r="G9" s="111" t="s">
        <v>2</v>
      </c>
      <c r="H9" s="32"/>
      <c r="I9" s="32"/>
      <c r="J9" s="33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4" s="328" customFormat="1" ht="13.5" thickTop="1" thickBot="1" x14ac:dyDescent="0.25">
      <c r="A10" s="323">
        <v>1</v>
      </c>
      <c r="B10" s="324">
        <v>2</v>
      </c>
      <c r="C10" s="324">
        <v>3</v>
      </c>
      <c r="D10" s="325">
        <v>4</v>
      </c>
      <c r="E10" s="325">
        <v>5</v>
      </c>
      <c r="F10" s="325">
        <v>6</v>
      </c>
      <c r="G10" s="326" t="s">
        <v>100</v>
      </c>
      <c r="H10" s="327"/>
      <c r="I10" s="327"/>
      <c r="J10" s="688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</row>
    <row r="11" spans="1:34" ht="15" thickTop="1" x14ac:dyDescent="0.2">
      <c r="A11" s="577">
        <v>2321</v>
      </c>
      <c r="B11" s="578">
        <v>63</v>
      </c>
      <c r="C11" s="579" t="s">
        <v>202</v>
      </c>
      <c r="D11" s="442">
        <f>SUM(H30)</f>
        <v>20000</v>
      </c>
      <c r="E11" s="442">
        <v>50934</v>
      </c>
      <c r="F11" s="442">
        <v>25000</v>
      </c>
      <c r="G11" s="580">
        <f>F11/D11*100</f>
        <v>125</v>
      </c>
    </row>
    <row r="12" spans="1:34" ht="14.25" x14ac:dyDescent="0.2">
      <c r="A12" s="455">
        <v>2310</v>
      </c>
      <c r="B12" s="445">
        <v>63</v>
      </c>
      <c r="C12" s="456" t="s">
        <v>202</v>
      </c>
      <c r="D12" s="446">
        <f>SUM(H33)</f>
        <v>10000</v>
      </c>
      <c r="E12" s="446">
        <v>9850</v>
      </c>
      <c r="F12" s="446">
        <v>11000</v>
      </c>
      <c r="G12" s="457">
        <f t="shared" ref="G12:G13" si="0">F12/D12*100</f>
        <v>110.00000000000001</v>
      </c>
    </row>
    <row r="13" spans="1:34" ht="14.25" x14ac:dyDescent="0.2">
      <c r="A13" s="455">
        <v>2334</v>
      </c>
      <c r="B13" s="445">
        <v>63</v>
      </c>
      <c r="C13" s="456" t="s">
        <v>202</v>
      </c>
      <c r="D13" s="446">
        <v>4300</v>
      </c>
      <c r="E13" s="446">
        <v>982</v>
      </c>
      <c r="F13" s="446">
        <v>4000</v>
      </c>
      <c r="G13" s="457">
        <f t="shared" si="0"/>
        <v>93.023255813953483</v>
      </c>
    </row>
    <row r="14" spans="1:34" ht="15" thickBot="1" x14ac:dyDescent="0.25">
      <c r="A14" s="458">
        <v>2399</v>
      </c>
      <c r="B14" s="448">
        <v>59</v>
      </c>
      <c r="C14" s="459" t="s">
        <v>359</v>
      </c>
      <c r="D14" s="450"/>
      <c r="E14" s="450">
        <v>250</v>
      </c>
      <c r="F14" s="450"/>
      <c r="G14" s="460"/>
    </row>
    <row r="15" spans="1:34" ht="16.5" thickTop="1" thickBot="1" x14ac:dyDescent="0.25">
      <c r="A15" s="307" t="s">
        <v>106</v>
      </c>
      <c r="B15" s="306"/>
      <c r="C15" s="305"/>
      <c r="D15" s="304">
        <f>SUM(D11:D14)</f>
        <v>34300</v>
      </c>
      <c r="E15" s="304">
        <f>SUM(E11:E14)</f>
        <v>62016</v>
      </c>
      <c r="F15" s="304">
        <f>SUM(F11:F14)</f>
        <v>40000</v>
      </c>
      <c r="G15" s="303">
        <f>F15/D15*100</f>
        <v>116.61807580174927</v>
      </c>
    </row>
    <row r="16" spans="1:34" ht="13.5" customHeight="1" thickTop="1" x14ac:dyDescent="0.2">
      <c r="A16" s="151"/>
      <c r="B16" s="151"/>
      <c r="C16" s="453"/>
      <c r="D16" s="453"/>
      <c r="E16" s="453"/>
      <c r="F16" s="453"/>
      <c r="G16" s="151"/>
    </row>
    <row r="17" spans="1:13" ht="13.5" customHeight="1" x14ac:dyDescent="0.2">
      <c r="A17" s="151"/>
      <c r="B17" s="151"/>
      <c r="C17" s="453"/>
      <c r="D17" s="453"/>
      <c r="E17" s="453"/>
      <c r="F17" s="453"/>
      <c r="G17" s="151"/>
      <c r="H17" s="151"/>
      <c r="I17" s="151"/>
      <c r="J17" s="314"/>
      <c r="K17" s="151"/>
      <c r="L17" s="151"/>
      <c r="M17" s="151"/>
    </row>
    <row r="18" spans="1:13" s="151" customFormat="1" ht="15.75" hidden="1" customHeight="1" x14ac:dyDescent="0.25">
      <c r="A18" s="454" t="s">
        <v>190</v>
      </c>
      <c r="C18" s="453"/>
      <c r="D18" s="453"/>
      <c r="E18" s="453"/>
      <c r="F18" s="453"/>
      <c r="J18" s="314"/>
    </row>
    <row r="19" spans="1:13" ht="15.75" hidden="1" customHeight="1" x14ac:dyDescent="0.25">
      <c r="A19" s="454"/>
      <c r="B19" s="151"/>
      <c r="C19" s="453"/>
      <c r="D19" s="453"/>
      <c r="E19" s="453"/>
      <c r="F19" s="453"/>
      <c r="G19" s="151"/>
      <c r="H19" s="151"/>
      <c r="I19" s="151"/>
      <c r="J19" s="314"/>
      <c r="K19" s="151"/>
      <c r="L19" s="151"/>
      <c r="M19" s="151"/>
    </row>
    <row r="20" spans="1:13" ht="18" hidden="1" customHeight="1" x14ac:dyDescent="0.2">
      <c r="A20" s="681"/>
      <c r="B20" s="682"/>
      <c r="C20" s="682"/>
      <c r="D20" s="682"/>
      <c r="E20" s="682"/>
      <c r="F20" s="682"/>
      <c r="G20" s="682"/>
      <c r="H20" s="151"/>
      <c r="I20" s="151"/>
      <c r="J20" s="314"/>
      <c r="K20" s="151"/>
      <c r="L20" s="151"/>
      <c r="M20" s="151"/>
    </row>
    <row r="21" spans="1:13" s="422" customFormat="1" ht="15.75" hidden="1" customHeight="1" thickBot="1" x14ac:dyDescent="0.25">
      <c r="A21" s="302" t="s">
        <v>201</v>
      </c>
      <c r="B21" s="302"/>
      <c r="C21" s="301"/>
      <c r="D21" s="301"/>
      <c r="E21" s="301"/>
      <c r="F21" s="312">
        <f>F22</f>
        <v>30000</v>
      </c>
      <c r="G21" s="311" t="s">
        <v>89</v>
      </c>
      <c r="H21" s="462"/>
      <c r="I21" s="462"/>
      <c r="J21" s="220"/>
      <c r="K21" s="462"/>
      <c r="L21" s="462"/>
      <c r="M21" s="462"/>
    </row>
    <row r="22" spans="1:13" ht="15.75" hidden="1" thickTop="1" x14ac:dyDescent="0.2">
      <c r="A22" s="677" t="s">
        <v>200</v>
      </c>
      <c r="B22" s="677"/>
      <c r="C22" s="678"/>
      <c r="D22" s="678"/>
      <c r="E22" s="678"/>
      <c r="F22" s="690">
        <v>30000</v>
      </c>
      <c r="G22" s="691" t="s">
        <v>89</v>
      </c>
      <c r="H22" s="151"/>
      <c r="I22" s="151"/>
      <c r="J22" s="314"/>
      <c r="K22" s="151"/>
      <c r="L22" s="151"/>
      <c r="M22" s="151"/>
    </row>
    <row r="23" spans="1:13" ht="44.25" hidden="1" customHeight="1" x14ac:dyDescent="0.2">
      <c r="A23" s="943" t="s">
        <v>199</v>
      </c>
      <c r="B23" s="944"/>
      <c r="C23" s="944"/>
      <c r="D23" s="944"/>
      <c r="E23" s="944"/>
      <c r="F23" s="944"/>
      <c r="G23" s="944"/>
      <c r="H23" s="151"/>
      <c r="I23" s="151"/>
      <c r="J23" s="314"/>
      <c r="K23" s="151"/>
      <c r="L23" s="151"/>
      <c r="M23" s="151"/>
    </row>
    <row r="24" spans="1:13" ht="28.5" hidden="1" customHeight="1" x14ac:dyDescent="0.25">
      <c r="A24" s="461" t="s">
        <v>134</v>
      </c>
      <c r="B24" s="151"/>
      <c r="C24" s="950" t="s">
        <v>484</v>
      </c>
      <c r="D24" s="950"/>
      <c r="E24" s="950"/>
      <c r="F24" s="948">
        <f>SUM(F26:G28)</f>
        <v>40000</v>
      </c>
      <c r="G24" s="949"/>
      <c r="H24" s="151"/>
      <c r="I24" s="151"/>
      <c r="J24" s="314"/>
      <c r="K24" s="151"/>
      <c r="L24" s="151"/>
      <c r="M24" s="151"/>
    </row>
    <row r="25" spans="1:13" s="692" customFormat="1" ht="14.25" hidden="1" customHeight="1" x14ac:dyDescent="0.2">
      <c r="A25" s="317" t="s">
        <v>135</v>
      </c>
      <c r="B25" s="316"/>
      <c r="C25" s="953" t="s">
        <v>266</v>
      </c>
      <c r="D25" s="953"/>
      <c r="E25" s="953"/>
      <c r="F25" s="119"/>
      <c r="G25" s="119"/>
      <c r="H25" s="119"/>
      <c r="I25" s="119"/>
      <c r="J25" s="314"/>
      <c r="K25" s="119"/>
      <c r="L25" s="119"/>
      <c r="M25" s="119"/>
    </row>
    <row r="26" spans="1:13" s="692" customFormat="1" ht="15.75" hidden="1" customHeight="1" x14ac:dyDescent="0.25">
      <c r="A26" s="317"/>
      <c r="B26" s="316"/>
      <c r="C26" s="953"/>
      <c r="D26" s="953"/>
      <c r="E26" s="953"/>
      <c r="F26" s="951">
        <v>25000</v>
      </c>
      <c r="G26" s="952"/>
      <c r="H26" s="119"/>
      <c r="I26" s="119"/>
      <c r="J26" s="314"/>
      <c r="K26" s="119"/>
      <c r="L26" s="119"/>
      <c r="M26" s="119"/>
    </row>
    <row r="27" spans="1:13" s="692" customFormat="1" ht="28.5" hidden="1" customHeight="1" x14ac:dyDescent="0.25">
      <c r="A27" s="317"/>
      <c r="B27" s="316"/>
      <c r="C27" s="953" t="s">
        <v>267</v>
      </c>
      <c r="D27" s="953"/>
      <c r="E27" s="953"/>
      <c r="F27" s="951">
        <v>11000</v>
      </c>
      <c r="G27" s="952"/>
      <c r="H27" s="119"/>
      <c r="I27" s="119"/>
      <c r="J27" s="314"/>
      <c r="K27" s="119"/>
      <c r="L27" s="119"/>
      <c r="M27" s="119"/>
    </row>
    <row r="28" spans="1:13" s="692" customFormat="1" ht="15.75" hidden="1" customHeight="1" x14ac:dyDescent="0.25">
      <c r="A28" s="317"/>
      <c r="B28" s="316"/>
      <c r="C28" s="52" t="s">
        <v>268</v>
      </c>
      <c r="D28" s="117"/>
      <c r="E28" s="117"/>
      <c r="F28" s="951">
        <v>4000</v>
      </c>
      <c r="G28" s="952"/>
      <c r="H28" s="119"/>
      <c r="I28" s="119"/>
      <c r="J28" s="314"/>
      <c r="K28" s="119"/>
      <c r="L28" s="119"/>
      <c r="M28" s="119"/>
    </row>
    <row r="29" spans="1:13" s="692" customFormat="1" ht="15.75" hidden="1" customHeight="1" x14ac:dyDescent="0.25">
      <c r="A29" s="317"/>
      <c r="B29" s="316"/>
      <c r="C29" s="52"/>
      <c r="D29" s="117"/>
      <c r="E29" s="117"/>
      <c r="F29" s="951"/>
      <c r="G29" s="952"/>
      <c r="H29" s="119"/>
      <c r="I29" s="119"/>
      <c r="J29" s="314"/>
      <c r="K29" s="119"/>
      <c r="L29" s="119"/>
      <c r="M29" s="119"/>
    </row>
    <row r="30" spans="1:13" s="422" customFormat="1" ht="16.5" hidden="1" customHeight="1" thickBot="1" x14ac:dyDescent="0.3">
      <c r="A30" s="302" t="s">
        <v>198</v>
      </c>
      <c r="B30" s="302"/>
      <c r="C30" s="301"/>
      <c r="D30" s="301"/>
      <c r="E30" s="301"/>
      <c r="F30" s="938">
        <f>SUM(F31:G31)</f>
        <v>25000</v>
      </c>
      <c r="G30" s="938"/>
      <c r="H30" s="462">
        <v>20000</v>
      </c>
      <c r="I30" s="462">
        <v>50934</v>
      </c>
      <c r="J30" s="220"/>
      <c r="K30" s="462"/>
      <c r="L30" s="462"/>
      <c r="M30" s="462"/>
    </row>
    <row r="31" spans="1:13" s="692" customFormat="1" ht="17.25" hidden="1" customHeight="1" thickTop="1" x14ac:dyDescent="0.25">
      <c r="A31" s="347" t="s">
        <v>195</v>
      </c>
      <c r="B31" s="316"/>
      <c r="C31" s="52"/>
      <c r="D31" s="117"/>
      <c r="E31" s="117"/>
      <c r="F31" s="945">
        <v>25000</v>
      </c>
      <c r="G31" s="946"/>
      <c r="H31" s="119"/>
      <c r="I31" s="119"/>
      <c r="J31" s="314"/>
      <c r="K31" s="119"/>
      <c r="L31" s="119"/>
      <c r="M31" s="119"/>
    </row>
    <row r="32" spans="1:13" ht="13.5" hidden="1" customHeight="1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314"/>
      <c r="K32" s="151"/>
      <c r="L32" s="151"/>
      <c r="M32" s="151"/>
    </row>
    <row r="33" spans="1:13" s="422" customFormat="1" ht="16.5" hidden="1" customHeight="1" thickBot="1" x14ac:dyDescent="0.3">
      <c r="A33" s="302" t="s">
        <v>197</v>
      </c>
      <c r="B33" s="302"/>
      <c r="C33" s="301"/>
      <c r="D33" s="301"/>
      <c r="E33" s="301"/>
      <c r="F33" s="938">
        <f>SUM(F34:G34)</f>
        <v>11000</v>
      </c>
      <c r="G33" s="938"/>
      <c r="H33" s="462">
        <v>10000</v>
      </c>
      <c r="I33" s="462">
        <v>9850</v>
      </c>
      <c r="J33" s="220"/>
      <c r="K33" s="462"/>
      <c r="L33" s="462"/>
      <c r="M33" s="462"/>
    </row>
    <row r="34" spans="1:13" s="692" customFormat="1" ht="17.25" hidden="1" customHeight="1" thickTop="1" x14ac:dyDescent="0.25">
      <c r="A34" s="347" t="s">
        <v>195</v>
      </c>
      <c r="B34" s="316"/>
      <c r="C34" s="52"/>
      <c r="D34" s="117"/>
      <c r="E34" s="117"/>
      <c r="F34" s="945">
        <v>11000</v>
      </c>
      <c r="G34" s="946"/>
      <c r="H34" s="119"/>
      <c r="I34" s="119"/>
      <c r="J34" s="314"/>
      <c r="K34" s="119"/>
      <c r="L34" s="119"/>
      <c r="M34" s="119"/>
    </row>
    <row r="35" spans="1:13" ht="13.5" hidden="1" customHeight="1" x14ac:dyDescent="0.2">
      <c r="A35" s="151"/>
      <c r="B35" s="151"/>
      <c r="C35" s="151"/>
      <c r="D35" s="151"/>
      <c r="E35" s="151"/>
      <c r="F35" s="151"/>
      <c r="G35" s="151"/>
      <c r="H35" s="151"/>
      <c r="I35" s="151"/>
      <c r="J35" s="314"/>
      <c r="K35" s="151"/>
      <c r="L35" s="151"/>
      <c r="M35" s="151"/>
    </row>
    <row r="36" spans="1:13" s="422" customFormat="1" ht="15.75" hidden="1" thickBot="1" x14ac:dyDescent="0.3">
      <c r="A36" s="302" t="s">
        <v>196</v>
      </c>
      <c r="B36" s="302"/>
      <c r="C36" s="301"/>
      <c r="D36" s="301"/>
      <c r="E36" s="301"/>
      <c r="F36" s="938">
        <f>SUM(F37:G37)</f>
        <v>4000</v>
      </c>
      <c r="G36" s="938"/>
      <c r="H36" s="462">
        <v>4300</v>
      </c>
      <c r="I36" s="462">
        <v>982</v>
      </c>
      <c r="J36" s="220"/>
      <c r="K36" s="462"/>
      <c r="L36" s="462"/>
      <c r="M36" s="462"/>
    </row>
    <row r="37" spans="1:13" s="692" customFormat="1" ht="15.75" hidden="1" thickTop="1" x14ac:dyDescent="0.25">
      <c r="A37" s="347" t="s">
        <v>195</v>
      </c>
      <c r="B37" s="316"/>
      <c r="C37" s="52"/>
      <c r="D37" s="117"/>
      <c r="E37" s="117"/>
      <c r="F37" s="945">
        <v>4000</v>
      </c>
      <c r="G37" s="946"/>
      <c r="H37" s="119"/>
      <c r="I37" s="119"/>
      <c r="J37" s="314"/>
      <c r="K37" s="119"/>
      <c r="L37" s="119"/>
      <c r="M37" s="119"/>
    </row>
    <row r="38" spans="1:13" hidden="1" x14ac:dyDescent="0.2">
      <c r="A38" s="151"/>
      <c r="B38" s="151"/>
      <c r="C38" s="151"/>
      <c r="D38" s="151"/>
      <c r="E38" s="151"/>
      <c r="F38" s="151"/>
      <c r="G38" s="151"/>
      <c r="H38" s="151"/>
      <c r="I38" s="151"/>
      <c r="J38" s="314"/>
      <c r="K38" s="151"/>
      <c r="L38" s="151"/>
      <c r="M38" s="151"/>
    </row>
    <row r="39" spans="1:13" hidden="1" x14ac:dyDescent="0.2"/>
  </sheetData>
  <mergeCells count="16">
    <mergeCell ref="F36:G36"/>
    <mergeCell ref="F37:G37"/>
    <mergeCell ref="A3:E4"/>
    <mergeCell ref="F24:G24"/>
    <mergeCell ref="A23:G23"/>
    <mergeCell ref="C24:E24"/>
    <mergeCell ref="F34:G34"/>
    <mergeCell ref="F31:G31"/>
    <mergeCell ref="F29:G29"/>
    <mergeCell ref="F28:G28"/>
    <mergeCell ref="F26:G26"/>
    <mergeCell ref="F27:G27"/>
    <mergeCell ref="C25:E26"/>
    <mergeCell ref="C27:E27"/>
    <mergeCell ref="F30:G30"/>
    <mergeCell ref="F33:G3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15" fitToHeight="9999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6C3D-F320-4EAE-8304-1BFE39C3A365}">
  <sheetPr>
    <tabColor rgb="FFCCFFFF"/>
  </sheetPr>
  <dimension ref="A1:N172"/>
  <sheetViews>
    <sheetView showGridLines="0" view="pageBreakPreview" zoomScaleNormal="100" zoomScaleSheetLayoutView="100" workbookViewId="0">
      <selection activeCell="B14" sqref="B14:E15"/>
    </sheetView>
  </sheetViews>
  <sheetFormatPr defaultColWidth="9.140625" defaultRowHeight="12.75" x14ac:dyDescent="0.2"/>
  <cols>
    <col min="1" max="1" width="9.140625" style="422"/>
    <col min="2" max="2" width="42.42578125" style="422" customWidth="1"/>
    <col min="3" max="3" width="4.28515625" style="422" customWidth="1"/>
    <col min="4" max="5" width="15.7109375" style="422" hidden="1" customWidth="1"/>
    <col min="6" max="6" width="18.42578125" style="422" customWidth="1"/>
    <col min="7" max="7" width="18.140625" style="422" bestFit="1" customWidth="1"/>
    <col min="8" max="8" width="18.42578125" style="422" customWidth="1"/>
    <col min="9" max="9" width="9" style="434" customWidth="1"/>
    <col min="10" max="10" width="3.140625" style="422" customWidth="1"/>
    <col min="11" max="13" width="10.140625" style="422" customWidth="1"/>
    <col min="14" max="14" width="10" style="422" bestFit="1" customWidth="1"/>
    <col min="15" max="16384" width="9.140625" style="422"/>
  </cols>
  <sheetData>
    <row r="1" spans="1:14" ht="20.25" x14ac:dyDescent="0.3">
      <c r="A1" s="602" t="s">
        <v>486</v>
      </c>
      <c r="B1" s="462"/>
      <c r="C1" s="462"/>
      <c r="D1" s="462"/>
      <c r="E1" s="462"/>
      <c r="F1" s="462"/>
      <c r="G1" s="462"/>
      <c r="H1" s="462"/>
      <c r="I1" s="582"/>
    </row>
    <row r="2" spans="1:14" ht="15.75" x14ac:dyDescent="0.25">
      <c r="A2" s="300"/>
      <c r="B2" s="462"/>
      <c r="C2" s="462"/>
      <c r="D2" s="462"/>
      <c r="E2" s="462"/>
      <c r="F2" s="462"/>
      <c r="G2" s="462"/>
      <c r="H2" s="462"/>
      <c r="I2" s="582"/>
    </row>
    <row r="3" spans="1:14" ht="15.75" x14ac:dyDescent="0.25">
      <c r="A3" s="300" t="s">
        <v>351</v>
      </c>
      <c r="B3" s="462"/>
      <c r="C3" s="462"/>
      <c r="D3" s="462"/>
      <c r="E3" s="462"/>
      <c r="F3" s="462"/>
      <c r="G3" s="462"/>
      <c r="H3" s="462"/>
      <c r="I3" s="582"/>
    </row>
    <row r="4" spans="1:14" ht="13.5" thickBot="1" x14ac:dyDescent="0.25">
      <c r="A4" s="462"/>
      <c r="B4" s="462"/>
      <c r="C4" s="462"/>
      <c r="D4" s="603"/>
      <c r="E4" s="603"/>
      <c r="F4" s="603"/>
      <c r="G4" s="603"/>
      <c r="H4" s="603"/>
      <c r="I4" s="604" t="s">
        <v>96</v>
      </c>
    </row>
    <row r="5" spans="1:14" ht="39" customHeight="1" thickTop="1" thickBot="1" x14ac:dyDescent="0.25">
      <c r="A5" s="884" t="s">
        <v>118</v>
      </c>
      <c r="B5" s="885"/>
      <c r="C5" s="605" t="s">
        <v>119</v>
      </c>
      <c r="D5" s="110" t="s">
        <v>74</v>
      </c>
      <c r="E5" s="110" t="s">
        <v>75</v>
      </c>
      <c r="F5" s="110" t="s">
        <v>371</v>
      </c>
      <c r="G5" s="110" t="s">
        <v>382</v>
      </c>
      <c r="H5" s="110" t="s">
        <v>383</v>
      </c>
      <c r="I5" s="111" t="s">
        <v>2</v>
      </c>
    </row>
    <row r="6" spans="1:14" ht="14.25" thickTop="1" thickBot="1" x14ac:dyDescent="0.25">
      <c r="A6" s="886">
        <v>1</v>
      </c>
      <c r="B6" s="887"/>
      <c r="C6" s="606">
        <v>2</v>
      </c>
      <c r="D6" s="607" t="s">
        <v>120</v>
      </c>
      <c r="E6" s="607" t="s">
        <v>121</v>
      </c>
      <c r="F6" s="607">
        <v>3</v>
      </c>
      <c r="G6" s="607">
        <v>4</v>
      </c>
      <c r="H6" s="607">
        <v>5</v>
      </c>
      <c r="I6" s="608" t="s">
        <v>122</v>
      </c>
    </row>
    <row r="7" spans="1:14" s="612" customFormat="1" ht="18" customHeight="1" thickTop="1" x14ac:dyDescent="0.25">
      <c r="A7" s="890" t="s">
        <v>231</v>
      </c>
      <c r="B7" s="891"/>
      <c r="C7" s="389">
        <v>2</v>
      </c>
      <c r="D7" s="390">
        <v>37794</v>
      </c>
      <c r="E7" s="390">
        <f>24167+14</f>
        <v>24181</v>
      </c>
      <c r="F7" s="390">
        <f>SUM('[16]02'!F14)</f>
        <v>0</v>
      </c>
      <c r="G7" s="390">
        <f>SUM('[16]02'!G14)</f>
        <v>919</v>
      </c>
      <c r="H7" s="390">
        <f>SUM('[16]02'!H14)</f>
        <v>1798</v>
      </c>
      <c r="I7" s="613"/>
    </row>
    <row r="8" spans="1:14" s="612" customFormat="1" ht="18" customHeight="1" x14ac:dyDescent="0.25">
      <c r="A8" s="882" t="s">
        <v>47</v>
      </c>
      <c r="B8" s="883"/>
      <c r="C8" s="389">
        <v>3</v>
      </c>
      <c r="D8" s="390">
        <v>305370</v>
      </c>
      <c r="E8" s="390">
        <v>315147</v>
      </c>
      <c r="F8" s="390">
        <f>SUM('[16]03'!F16)</f>
        <v>0</v>
      </c>
      <c r="G8" s="390">
        <f>SUM('[16]03'!G16)</f>
        <v>0</v>
      </c>
      <c r="H8" s="390">
        <f>SUM('[16]03'!H16)</f>
        <v>122</v>
      </c>
      <c r="I8" s="613"/>
      <c r="N8" s="614"/>
    </row>
    <row r="9" spans="1:14" s="612" customFormat="1" ht="18" customHeight="1" x14ac:dyDescent="0.25">
      <c r="A9" s="882" t="s">
        <v>78</v>
      </c>
      <c r="B9" s="883"/>
      <c r="C9" s="391">
        <v>10</v>
      </c>
      <c r="D9" s="390">
        <v>14184</v>
      </c>
      <c r="E9" s="390">
        <f>10107+870</f>
        <v>10977</v>
      </c>
      <c r="F9" s="390">
        <f>SUM('[16]10'!G27)</f>
        <v>0</v>
      </c>
      <c r="G9" s="390">
        <f>SUM('[16]10'!H27)</f>
        <v>12326829</v>
      </c>
      <c r="H9" s="390">
        <f>SUM('[16]10'!I27)</f>
        <v>12756060</v>
      </c>
      <c r="I9" s="613"/>
    </row>
    <row r="10" spans="1:14" s="612" customFormat="1" ht="18" customHeight="1" x14ac:dyDescent="0.25">
      <c r="A10" s="882" t="s">
        <v>127</v>
      </c>
      <c r="B10" s="883"/>
      <c r="C10" s="391">
        <v>11</v>
      </c>
      <c r="D10" s="390">
        <v>5245</v>
      </c>
      <c r="E10" s="390">
        <v>1330</v>
      </c>
      <c r="F10" s="390">
        <f>SUM('[16]11'!G16)</f>
        <v>0</v>
      </c>
      <c r="G10" s="390">
        <f>SUM('[16]11'!H16)</f>
        <v>1963190</v>
      </c>
      <c r="H10" s="390">
        <f>SUM('[16]11'!I16)</f>
        <v>1958690</v>
      </c>
      <c r="I10" s="613"/>
      <c r="J10" s="112"/>
      <c r="K10" s="112"/>
      <c r="N10" s="614"/>
    </row>
    <row r="11" spans="1:14" s="612" customFormat="1" ht="18" customHeight="1" thickBot="1" x14ac:dyDescent="0.3">
      <c r="A11" s="880" t="s">
        <v>128</v>
      </c>
      <c r="B11" s="881"/>
      <c r="C11" s="391">
        <v>12</v>
      </c>
      <c r="D11" s="390">
        <v>835</v>
      </c>
      <c r="E11" s="390">
        <v>3238</v>
      </c>
      <c r="F11" s="390">
        <v>0</v>
      </c>
      <c r="G11" s="390">
        <f>SUM('[16]12'!H11)</f>
        <v>260007</v>
      </c>
      <c r="H11" s="390">
        <f>SUM('[16]12'!I11)</f>
        <v>287000</v>
      </c>
      <c r="I11" s="613"/>
      <c r="J11" s="113"/>
      <c r="K11" s="614"/>
      <c r="L11" s="614"/>
      <c r="M11" s="614"/>
      <c r="N11" s="614"/>
    </row>
    <row r="12" spans="1:14" s="253" customFormat="1" ht="25.5" customHeight="1" thickTop="1" thickBot="1" x14ac:dyDescent="0.3">
      <c r="A12" s="894" t="s">
        <v>131</v>
      </c>
      <c r="B12" s="895"/>
      <c r="C12" s="895"/>
      <c r="D12" s="114">
        <f>SUM(D7:D11)</f>
        <v>363428</v>
      </c>
      <c r="E12" s="114">
        <f>SUM(E7:E11)</f>
        <v>354873</v>
      </c>
      <c r="F12" s="114">
        <f>SUM(F11,F10,F9,F8,F7)</f>
        <v>0</v>
      </c>
      <c r="G12" s="114">
        <f>SUM(G11,G10,G9,G8,G7)</f>
        <v>14550945</v>
      </c>
      <c r="H12" s="114">
        <f>SUM(H11,H10,H9,H8,H7)</f>
        <v>15003670</v>
      </c>
      <c r="I12" s="115"/>
    </row>
    <row r="13" spans="1:14" ht="13.5" thickTop="1" x14ac:dyDescent="0.2">
      <c r="A13" s="617"/>
      <c r="B13" s="617"/>
      <c r="C13" s="617"/>
      <c r="D13" s="617"/>
      <c r="E13" s="617"/>
      <c r="F13" s="617"/>
      <c r="G13" s="617"/>
      <c r="H13" s="617"/>
      <c r="I13" s="617"/>
    </row>
    <row r="14" spans="1:14" x14ac:dyDescent="0.2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</row>
    <row r="15" spans="1:14" x14ac:dyDescent="0.2">
      <c r="A15" s="462"/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</row>
    <row r="16" spans="1:14" x14ac:dyDescent="0.2">
      <c r="I16" s="422"/>
    </row>
    <row r="17" spans="9:9" x14ac:dyDescent="0.2">
      <c r="I17" s="422"/>
    </row>
    <row r="18" spans="9:9" x14ac:dyDescent="0.2">
      <c r="I18" s="422"/>
    </row>
    <row r="19" spans="9:9" x14ac:dyDescent="0.2">
      <c r="I19" s="422"/>
    </row>
    <row r="20" spans="9:9" x14ac:dyDescent="0.2">
      <c r="I20" s="422"/>
    </row>
    <row r="21" spans="9:9" x14ac:dyDescent="0.2">
      <c r="I21" s="422"/>
    </row>
    <row r="22" spans="9:9" x14ac:dyDescent="0.2">
      <c r="I22" s="422"/>
    </row>
    <row r="23" spans="9:9" x14ac:dyDescent="0.2">
      <c r="I23" s="422"/>
    </row>
    <row r="24" spans="9:9" x14ac:dyDescent="0.2">
      <c r="I24" s="422"/>
    </row>
    <row r="25" spans="9:9" x14ac:dyDescent="0.2">
      <c r="I25" s="422"/>
    </row>
    <row r="26" spans="9:9" x14ac:dyDescent="0.2">
      <c r="I26" s="422"/>
    </row>
    <row r="27" spans="9:9" x14ac:dyDescent="0.2">
      <c r="I27" s="422"/>
    </row>
    <row r="28" spans="9:9" x14ac:dyDescent="0.2">
      <c r="I28" s="422"/>
    </row>
    <row r="29" spans="9:9" x14ac:dyDescent="0.2">
      <c r="I29" s="422"/>
    </row>
    <row r="30" spans="9:9" x14ac:dyDescent="0.2">
      <c r="I30" s="422"/>
    </row>
    <row r="31" spans="9:9" x14ac:dyDescent="0.2">
      <c r="I31" s="422"/>
    </row>
    <row r="32" spans="9:9" x14ac:dyDescent="0.2">
      <c r="I32" s="422"/>
    </row>
    <row r="33" spans="9:9" x14ac:dyDescent="0.2">
      <c r="I33" s="422"/>
    </row>
    <row r="34" spans="9:9" x14ac:dyDescent="0.2">
      <c r="I34" s="422"/>
    </row>
    <row r="35" spans="9:9" x14ac:dyDescent="0.2">
      <c r="I35" s="422"/>
    </row>
    <row r="36" spans="9:9" x14ac:dyDescent="0.2">
      <c r="I36" s="422"/>
    </row>
    <row r="37" spans="9:9" x14ac:dyDescent="0.2">
      <c r="I37" s="422"/>
    </row>
    <row r="38" spans="9:9" x14ac:dyDescent="0.2">
      <c r="I38" s="422"/>
    </row>
    <row r="39" spans="9:9" x14ac:dyDescent="0.2">
      <c r="I39" s="422"/>
    </row>
    <row r="40" spans="9:9" x14ac:dyDescent="0.2">
      <c r="I40" s="422"/>
    </row>
    <row r="41" spans="9:9" x14ac:dyDescent="0.2">
      <c r="I41" s="422"/>
    </row>
    <row r="42" spans="9:9" x14ac:dyDescent="0.2">
      <c r="I42" s="422"/>
    </row>
    <row r="43" spans="9:9" x14ac:dyDescent="0.2">
      <c r="I43" s="422"/>
    </row>
    <row r="44" spans="9:9" x14ac:dyDescent="0.2">
      <c r="I44" s="422"/>
    </row>
    <row r="45" spans="9:9" x14ac:dyDescent="0.2">
      <c r="I45" s="422"/>
    </row>
    <row r="46" spans="9:9" x14ac:dyDescent="0.2">
      <c r="I46" s="422"/>
    </row>
    <row r="47" spans="9:9" x14ac:dyDescent="0.2">
      <c r="I47" s="422"/>
    </row>
    <row r="48" spans="9:9" x14ac:dyDescent="0.2">
      <c r="I48" s="422"/>
    </row>
    <row r="49" spans="9:9" x14ac:dyDescent="0.2">
      <c r="I49" s="422"/>
    </row>
    <row r="50" spans="9:9" x14ac:dyDescent="0.2">
      <c r="I50" s="422"/>
    </row>
    <row r="51" spans="9:9" x14ac:dyDescent="0.2">
      <c r="I51" s="422"/>
    </row>
    <row r="52" spans="9:9" x14ac:dyDescent="0.2">
      <c r="I52" s="422"/>
    </row>
    <row r="53" spans="9:9" x14ac:dyDescent="0.2">
      <c r="I53" s="422"/>
    </row>
    <row r="54" spans="9:9" x14ac:dyDescent="0.2">
      <c r="I54" s="422"/>
    </row>
    <row r="55" spans="9:9" x14ac:dyDescent="0.2">
      <c r="I55" s="422"/>
    </row>
    <row r="56" spans="9:9" x14ac:dyDescent="0.2">
      <c r="I56" s="422"/>
    </row>
    <row r="57" spans="9:9" x14ac:dyDescent="0.2">
      <c r="I57" s="422"/>
    </row>
    <row r="58" spans="9:9" x14ac:dyDescent="0.2">
      <c r="I58" s="422"/>
    </row>
    <row r="59" spans="9:9" x14ac:dyDescent="0.2">
      <c r="I59" s="422"/>
    </row>
    <row r="60" spans="9:9" x14ac:dyDescent="0.2">
      <c r="I60" s="422"/>
    </row>
    <row r="61" spans="9:9" x14ac:dyDescent="0.2">
      <c r="I61" s="422"/>
    </row>
    <row r="62" spans="9:9" x14ac:dyDescent="0.2">
      <c r="I62" s="422"/>
    </row>
    <row r="63" spans="9:9" x14ac:dyDescent="0.2">
      <c r="I63" s="422"/>
    </row>
    <row r="64" spans="9:9" x14ac:dyDescent="0.2">
      <c r="I64" s="422"/>
    </row>
    <row r="65" spans="9:9" x14ac:dyDescent="0.2">
      <c r="I65" s="422"/>
    </row>
    <row r="66" spans="9:9" x14ac:dyDescent="0.2">
      <c r="I66" s="422"/>
    </row>
    <row r="67" spans="9:9" x14ac:dyDescent="0.2">
      <c r="I67" s="422"/>
    </row>
    <row r="68" spans="9:9" x14ac:dyDescent="0.2">
      <c r="I68" s="422"/>
    </row>
    <row r="69" spans="9:9" x14ac:dyDescent="0.2">
      <c r="I69" s="422"/>
    </row>
    <row r="70" spans="9:9" x14ac:dyDescent="0.2">
      <c r="I70" s="422"/>
    </row>
    <row r="71" spans="9:9" x14ac:dyDescent="0.2">
      <c r="I71" s="422"/>
    </row>
    <row r="72" spans="9:9" x14ac:dyDescent="0.2">
      <c r="I72" s="422"/>
    </row>
    <row r="73" spans="9:9" x14ac:dyDescent="0.2">
      <c r="I73" s="422"/>
    </row>
    <row r="74" spans="9:9" x14ac:dyDescent="0.2">
      <c r="I74" s="422"/>
    </row>
    <row r="75" spans="9:9" x14ac:dyDescent="0.2">
      <c r="I75" s="422"/>
    </row>
    <row r="76" spans="9:9" x14ac:dyDescent="0.2">
      <c r="I76" s="422"/>
    </row>
    <row r="77" spans="9:9" x14ac:dyDescent="0.2">
      <c r="I77" s="422"/>
    </row>
    <row r="78" spans="9:9" x14ac:dyDescent="0.2">
      <c r="I78" s="422"/>
    </row>
    <row r="79" spans="9:9" x14ac:dyDescent="0.2">
      <c r="I79" s="422"/>
    </row>
    <row r="80" spans="9:9" x14ac:dyDescent="0.2">
      <c r="I80" s="422"/>
    </row>
    <row r="81" spans="9:9" x14ac:dyDescent="0.2">
      <c r="I81" s="422"/>
    </row>
    <row r="82" spans="9:9" x14ac:dyDescent="0.2">
      <c r="I82" s="422"/>
    </row>
    <row r="83" spans="9:9" x14ac:dyDescent="0.2">
      <c r="I83" s="422"/>
    </row>
    <row r="84" spans="9:9" x14ac:dyDescent="0.2">
      <c r="I84" s="422"/>
    </row>
    <row r="85" spans="9:9" x14ac:dyDescent="0.2">
      <c r="I85" s="422"/>
    </row>
    <row r="86" spans="9:9" x14ac:dyDescent="0.2">
      <c r="I86" s="422"/>
    </row>
    <row r="87" spans="9:9" x14ac:dyDescent="0.2">
      <c r="I87" s="422"/>
    </row>
    <row r="88" spans="9:9" x14ac:dyDescent="0.2">
      <c r="I88" s="422"/>
    </row>
    <row r="89" spans="9:9" x14ac:dyDescent="0.2">
      <c r="I89" s="422"/>
    </row>
    <row r="90" spans="9:9" x14ac:dyDescent="0.2">
      <c r="I90" s="422"/>
    </row>
    <row r="91" spans="9:9" x14ac:dyDescent="0.2">
      <c r="I91" s="422"/>
    </row>
    <row r="92" spans="9:9" x14ac:dyDescent="0.2">
      <c r="I92" s="422"/>
    </row>
    <row r="93" spans="9:9" x14ac:dyDescent="0.2">
      <c r="I93" s="422"/>
    </row>
    <row r="94" spans="9:9" x14ac:dyDescent="0.2">
      <c r="I94" s="422"/>
    </row>
    <row r="95" spans="9:9" x14ac:dyDescent="0.2">
      <c r="I95" s="422"/>
    </row>
    <row r="96" spans="9:9" x14ac:dyDescent="0.2">
      <c r="I96" s="422"/>
    </row>
    <row r="97" spans="9:9" x14ac:dyDescent="0.2">
      <c r="I97" s="422"/>
    </row>
    <row r="98" spans="9:9" x14ac:dyDescent="0.2">
      <c r="I98" s="422"/>
    </row>
    <row r="99" spans="9:9" x14ac:dyDescent="0.2">
      <c r="I99" s="422"/>
    </row>
    <row r="100" spans="9:9" x14ac:dyDescent="0.2">
      <c r="I100" s="422"/>
    </row>
    <row r="101" spans="9:9" x14ac:dyDescent="0.2">
      <c r="I101" s="422"/>
    </row>
    <row r="102" spans="9:9" x14ac:dyDescent="0.2">
      <c r="I102" s="422"/>
    </row>
    <row r="103" spans="9:9" x14ac:dyDescent="0.2">
      <c r="I103" s="422"/>
    </row>
    <row r="104" spans="9:9" x14ac:dyDescent="0.2">
      <c r="I104" s="422"/>
    </row>
    <row r="105" spans="9:9" x14ac:dyDescent="0.2">
      <c r="I105" s="422"/>
    </row>
    <row r="106" spans="9:9" x14ac:dyDescent="0.2">
      <c r="I106" s="422"/>
    </row>
    <row r="107" spans="9:9" x14ac:dyDescent="0.2">
      <c r="I107" s="422"/>
    </row>
    <row r="108" spans="9:9" x14ac:dyDescent="0.2">
      <c r="I108" s="422"/>
    </row>
    <row r="109" spans="9:9" x14ac:dyDescent="0.2">
      <c r="I109" s="422"/>
    </row>
    <row r="110" spans="9:9" x14ac:dyDescent="0.2">
      <c r="I110" s="422"/>
    </row>
    <row r="111" spans="9:9" x14ac:dyDescent="0.2">
      <c r="I111" s="422"/>
    </row>
    <row r="112" spans="9:9" x14ac:dyDescent="0.2">
      <c r="I112" s="422"/>
    </row>
    <row r="113" spans="9:9" x14ac:dyDescent="0.2">
      <c r="I113" s="422"/>
    </row>
    <row r="114" spans="9:9" x14ac:dyDescent="0.2">
      <c r="I114" s="422"/>
    </row>
    <row r="115" spans="9:9" x14ac:dyDescent="0.2">
      <c r="I115" s="422"/>
    </row>
    <row r="116" spans="9:9" x14ac:dyDescent="0.2">
      <c r="I116" s="422"/>
    </row>
    <row r="117" spans="9:9" x14ac:dyDescent="0.2">
      <c r="I117" s="422"/>
    </row>
    <row r="118" spans="9:9" x14ac:dyDescent="0.2">
      <c r="I118" s="422"/>
    </row>
    <row r="119" spans="9:9" x14ac:dyDescent="0.2">
      <c r="I119" s="422"/>
    </row>
    <row r="120" spans="9:9" x14ac:dyDescent="0.2">
      <c r="I120" s="422"/>
    </row>
    <row r="121" spans="9:9" x14ac:dyDescent="0.2">
      <c r="I121" s="422"/>
    </row>
    <row r="122" spans="9:9" x14ac:dyDescent="0.2">
      <c r="I122" s="422"/>
    </row>
    <row r="123" spans="9:9" x14ac:dyDescent="0.2">
      <c r="I123" s="422"/>
    </row>
    <row r="124" spans="9:9" x14ac:dyDescent="0.2">
      <c r="I124" s="422"/>
    </row>
    <row r="125" spans="9:9" x14ac:dyDescent="0.2">
      <c r="I125" s="422"/>
    </row>
    <row r="126" spans="9:9" x14ac:dyDescent="0.2">
      <c r="I126" s="422"/>
    </row>
    <row r="127" spans="9:9" x14ac:dyDescent="0.2">
      <c r="I127" s="422"/>
    </row>
    <row r="128" spans="9:9" x14ac:dyDescent="0.2">
      <c r="I128" s="422"/>
    </row>
    <row r="129" spans="9:9" x14ac:dyDescent="0.2">
      <c r="I129" s="422"/>
    </row>
    <row r="130" spans="9:9" x14ac:dyDescent="0.2">
      <c r="I130" s="422"/>
    </row>
    <row r="131" spans="9:9" x14ac:dyDescent="0.2">
      <c r="I131" s="422"/>
    </row>
    <row r="132" spans="9:9" x14ac:dyDescent="0.2">
      <c r="I132" s="422"/>
    </row>
    <row r="133" spans="9:9" x14ac:dyDescent="0.2">
      <c r="I133" s="422"/>
    </row>
    <row r="134" spans="9:9" x14ac:dyDescent="0.2">
      <c r="I134" s="422"/>
    </row>
    <row r="135" spans="9:9" x14ac:dyDescent="0.2">
      <c r="I135" s="422"/>
    </row>
    <row r="136" spans="9:9" x14ac:dyDescent="0.2">
      <c r="I136" s="422"/>
    </row>
    <row r="137" spans="9:9" x14ac:dyDescent="0.2">
      <c r="I137" s="422"/>
    </row>
    <row r="138" spans="9:9" x14ac:dyDescent="0.2">
      <c r="I138" s="422"/>
    </row>
    <row r="139" spans="9:9" x14ac:dyDescent="0.2">
      <c r="I139" s="422"/>
    </row>
    <row r="140" spans="9:9" x14ac:dyDescent="0.2">
      <c r="I140" s="422"/>
    </row>
    <row r="141" spans="9:9" x14ac:dyDescent="0.2">
      <c r="I141" s="422"/>
    </row>
    <row r="142" spans="9:9" x14ac:dyDescent="0.2">
      <c r="I142" s="422"/>
    </row>
    <row r="143" spans="9:9" x14ac:dyDescent="0.2">
      <c r="I143" s="422"/>
    </row>
    <row r="144" spans="9:9" x14ac:dyDescent="0.2">
      <c r="I144" s="422"/>
    </row>
    <row r="145" spans="9:9" x14ac:dyDescent="0.2">
      <c r="I145" s="422"/>
    </row>
    <row r="146" spans="9:9" x14ac:dyDescent="0.2">
      <c r="I146" s="422"/>
    </row>
    <row r="147" spans="9:9" x14ac:dyDescent="0.2">
      <c r="I147" s="422"/>
    </row>
    <row r="148" spans="9:9" x14ac:dyDescent="0.2">
      <c r="I148" s="422"/>
    </row>
    <row r="149" spans="9:9" x14ac:dyDescent="0.2">
      <c r="I149" s="422"/>
    </row>
    <row r="150" spans="9:9" x14ac:dyDescent="0.2">
      <c r="I150" s="422"/>
    </row>
    <row r="151" spans="9:9" x14ac:dyDescent="0.2">
      <c r="I151" s="422"/>
    </row>
    <row r="152" spans="9:9" x14ac:dyDescent="0.2">
      <c r="I152" s="422"/>
    </row>
    <row r="153" spans="9:9" x14ac:dyDescent="0.2">
      <c r="I153" s="422"/>
    </row>
    <row r="154" spans="9:9" x14ac:dyDescent="0.2">
      <c r="I154" s="422"/>
    </row>
    <row r="155" spans="9:9" x14ac:dyDescent="0.2">
      <c r="I155" s="422"/>
    </row>
    <row r="156" spans="9:9" x14ac:dyDescent="0.2">
      <c r="I156" s="422"/>
    </row>
    <row r="157" spans="9:9" x14ac:dyDescent="0.2">
      <c r="I157" s="422"/>
    </row>
    <row r="158" spans="9:9" x14ac:dyDescent="0.2">
      <c r="I158" s="422"/>
    </row>
    <row r="159" spans="9:9" x14ac:dyDescent="0.2">
      <c r="I159" s="422"/>
    </row>
    <row r="160" spans="9:9" x14ac:dyDescent="0.2">
      <c r="I160" s="422"/>
    </row>
    <row r="161" spans="9:9" x14ac:dyDescent="0.2">
      <c r="I161" s="422"/>
    </row>
    <row r="162" spans="9:9" x14ac:dyDescent="0.2">
      <c r="I162" s="422"/>
    </row>
    <row r="163" spans="9:9" x14ac:dyDescent="0.2">
      <c r="I163" s="422"/>
    </row>
    <row r="164" spans="9:9" x14ac:dyDescent="0.2">
      <c r="I164" s="422"/>
    </row>
    <row r="165" spans="9:9" x14ac:dyDescent="0.2">
      <c r="I165" s="422"/>
    </row>
    <row r="166" spans="9:9" x14ac:dyDescent="0.2">
      <c r="I166" s="422"/>
    </row>
    <row r="167" spans="9:9" x14ac:dyDescent="0.2">
      <c r="I167" s="422"/>
    </row>
    <row r="168" spans="9:9" x14ac:dyDescent="0.2">
      <c r="I168" s="422"/>
    </row>
    <row r="169" spans="9:9" x14ac:dyDescent="0.2">
      <c r="I169" s="422"/>
    </row>
    <row r="170" spans="9:9" x14ac:dyDescent="0.2">
      <c r="I170" s="422"/>
    </row>
    <row r="171" spans="9:9" x14ac:dyDescent="0.2">
      <c r="I171" s="422"/>
    </row>
    <row r="172" spans="9:9" x14ac:dyDescent="0.2">
      <c r="I172" s="422"/>
    </row>
  </sheetData>
  <mergeCells count="8">
    <mergeCell ref="A10:B10"/>
    <mergeCell ref="A11:B11"/>
    <mergeCell ref="A12:C12"/>
    <mergeCell ref="A5:B5"/>
    <mergeCell ref="A6:B6"/>
    <mergeCell ref="A7:B7"/>
    <mergeCell ref="A8:B8"/>
    <mergeCell ref="A9:B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16" fitToHeight="9999" orientation="portrait" useFirstPageNumber="1" r:id="rId1"/>
  <headerFooter>
    <oddFooter>&amp;L&amp;"Arial,Kurzíva"Olomouckého kraje 16.12.2024
10.1. - Rozpočet Olomouckého kraje 2025 - návrh rozpočtu
Příloha č. 1: Návrh rozpočtu OK na rok 2024 (bilance) - zkrácená verze&amp;R&amp;"Arial,Kurzíva"Strana &amp;P (Celkem 205)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stránky</vt:lpstr>
      <vt:lpstr>bilance </vt:lpstr>
      <vt:lpstr>a) Příjmy</vt:lpstr>
      <vt:lpstr>b) Výdaje</vt:lpstr>
      <vt:lpstr>c) Dotační tituly</vt:lpstr>
      <vt:lpstr>d) Příspěvkové organizace</vt:lpstr>
      <vt:lpstr>e) FSP</vt:lpstr>
      <vt:lpstr>f) Fond voda</vt:lpstr>
      <vt:lpstr>g) účelové dotace</vt:lpstr>
      <vt:lpstr>h) Financování</vt:lpstr>
      <vt:lpstr>i) Investice</vt:lpstr>
      <vt:lpstr>'c) Dotační tituly'!Názvy_tisku</vt:lpstr>
      <vt:lpstr>'a) Příjmy'!Oblast_tisku</vt:lpstr>
      <vt:lpstr>'b) Výdaje'!Oblast_tisku</vt:lpstr>
      <vt:lpstr>'bilance '!Oblast_tisku</vt:lpstr>
      <vt:lpstr>'c) Dotační tituly'!Oblast_tisku</vt:lpstr>
      <vt:lpstr>'d) Příspěvkové organizace'!Oblast_tisku</vt:lpstr>
      <vt:lpstr>'e) FSP'!Oblast_tisku</vt:lpstr>
      <vt:lpstr>'f) Fond voda'!Oblast_tisku</vt:lpstr>
      <vt:lpstr>'g) účelové dotace'!Oblast_tisku</vt:lpstr>
      <vt:lpstr>'h) Financování'!Oblast_tisku</vt:lpstr>
      <vt:lpstr>'i) Investice'!Oblast_tisku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2024-11-26T09:56:48Z</cp:lastPrinted>
  <dcterms:created xsi:type="dcterms:W3CDTF">2012-11-29T09:19:31Z</dcterms:created>
  <dcterms:modified xsi:type="dcterms:W3CDTF">2024-11-27T07:43:06Z</dcterms:modified>
</cp:coreProperties>
</file>