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4\Plnění rozpočtu k 30. 9. 2024\ZOK 16.12.2024\"/>
    </mc:Choice>
  </mc:AlternateContent>
  <xr:revisionPtr revIDLastSave="0" documentId="13_ncr:1_{CDDDAE58-2D9F-4E1A-8614-0C40AF839D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0" l="1"/>
  <c r="C20" i="14"/>
  <c r="E6" i="14" l="1"/>
  <c r="E16" i="14"/>
  <c r="G20" i="14" l="1"/>
  <c r="G25" i="14"/>
  <c r="B25" i="14"/>
  <c r="N25" i="14"/>
  <c r="M25" i="14"/>
  <c r="N26" i="14"/>
  <c r="M26" i="14"/>
  <c r="N24" i="14"/>
  <c r="M24" i="14"/>
  <c r="I24" i="14"/>
  <c r="H24" i="14"/>
  <c r="D20" i="14"/>
  <c r="N14" i="14" l="1"/>
  <c r="I14" i="14"/>
  <c r="I15" i="14"/>
  <c r="M14" i="14"/>
  <c r="N15" i="14"/>
  <c r="M15" i="14"/>
  <c r="H15" i="14"/>
  <c r="H14" i="14"/>
  <c r="N11" i="14" l="1"/>
  <c r="M11" i="14"/>
  <c r="I7" i="14"/>
  <c r="H7" i="14"/>
  <c r="D118" i="2"/>
  <c r="E118" i="2"/>
  <c r="E117" i="2"/>
  <c r="D117" i="2"/>
  <c r="F100" i="2"/>
  <c r="E94" i="2"/>
  <c r="D94" i="2"/>
  <c r="F78" i="2"/>
  <c r="E73" i="2"/>
  <c r="D73" i="2"/>
  <c r="E42" i="2"/>
  <c r="D42" i="2"/>
  <c r="E33" i="2"/>
  <c r="D33" i="2"/>
  <c r="E29" i="2"/>
  <c r="D29" i="2"/>
  <c r="E24" i="2"/>
  <c r="D24" i="2"/>
  <c r="E11" i="2"/>
  <c r="D11" i="2"/>
  <c r="E7" i="2"/>
  <c r="G41" i="14" l="1"/>
  <c r="C117" i="2" l="1"/>
  <c r="C106" i="2"/>
  <c r="B20" i="14"/>
  <c r="B22" i="14"/>
  <c r="G24" i="14"/>
  <c r="G14" i="14"/>
  <c r="F83" i="2" l="1"/>
  <c r="N6" i="14"/>
  <c r="M6" i="14"/>
  <c r="L6" i="14"/>
  <c r="G7" i="14"/>
  <c r="C118" i="2"/>
  <c r="C94" i="2"/>
  <c r="F54" i="2"/>
  <c r="C42" i="2"/>
  <c r="C33" i="2"/>
  <c r="C29" i="2"/>
  <c r="C24" i="2"/>
  <c r="C11" i="2"/>
  <c r="D7" i="2"/>
  <c r="C7" i="2"/>
  <c r="E10" i="10"/>
  <c r="F98" i="2" l="1"/>
  <c r="E97" i="2"/>
  <c r="D97" i="2"/>
  <c r="C97" i="2"/>
  <c r="F97" i="2" l="1"/>
  <c r="F58" i="2"/>
  <c r="E37" i="2"/>
  <c r="F43" i="2"/>
  <c r="E11" i="1" l="1"/>
  <c r="E9" i="1" l="1"/>
  <c r="B41" i="14" l="1"/>
  <c r="H26" i="14" l="1"/>
  <c r="I26" i="14"/>
  <c r="G26" i="14" l="1"/>
  <c r="B21" i="14" l="1"/>
  <c r="I11" i="14"/>
  <c r="L13" i="14"/>
  <c r="I13" i="14"/>
  <c r="H13" i="14"/>
  <c r="G13" i="14"/>
  <c r="B13" i="14" l="1"/>
  <c r="M13" i="14"/>
  <c r="C13" i="14" s="1"/>
  <c r="C12" i="14"/>
  <c r="D12" i="14"/>
  <c r="B12" i="14"/>
  <c r="O11" i="14" l="1"/>
  <c r="G11" i="14"/>
  <c r="E11" i="14"/>
  <c r="O10" i="14"/>
  <c r="O9" i="14"/>
  <c r="J8" i="14"/>
  <c r="J7" i="14"/>
  <c r="H6" i="14"/>
  <c r="I6" i="14"/>
  <c r="H35" i="14" s="1"/>
  <c r="G6" i="14"/>
  <c r="D10" i="14"/>
  <c r="C10" i="14"/>
  <c r="B10" i="14"/>
  <c r="D9" i="14"/>
  <c r="E9" i="14" s="1"/>
  <c r="C9" i="14"/>
  <c r="B9" i="14"/>
  <c r="D8" i="14"/>
  <c r="C8" i="14"/>
  <c r="B8" i="14"/>
  <c r="D7" i="14"/>
  <c r="C7" i="14"/>
  <c r="B7" i="14"/>
  <c r="O6" i="14" l="1"/>
  <c r="B6" i="14"/>
  <c r="H11" i="14"/>
  <c r="J11" i="14" s="1"/>
  <c r="C6" i="14"/>
  <c r="E8" i="14"/>
  <c r="J6" i="14"/>
  <c r="E7" i="14"/>
  <c r="D6" i="14"/>
  <c r="C35" i="14" s="1"/>
  <c r="E10" i="14"/>
  <c r="E28" i="2" l="1"/>
  <c r="E72" i="2"/>
  <c r="D72" i="2"/>
  <c r="C72" i="2"/>
  <c r="F74" i="2"/>
  <c r="C68" i="2"/>
  <c r="E68" i="2"/>
  <c r="D68" i="2"/>
  <c r="F73" i="2"/>
  <c r="F57" i="2"/>
  <c r="F61" i="2"/>
  <c r="C67" i="2" l="1"/>
  <c r="D67" i="2"/>
  <c r="F68" i="2"/>
  <c r="E67" i="2"/>
  <c r="F67" i="2" s="1"/>
  <c r="F72" i="2"/>
  <c r="D10" i="2" l="1"/>
  <c r="C10" i="2"/>
  <c r="D107" i="2"/>
  <c r="E107" i="2"/>
  <c r="C107" i="2"/>
  <c r="C120" i="2" s="1"/>
  <c r="F13" i="2"/>
  <c r="E10" i="2"/>
  <c r="F10" i="2" l="1"/>
  <c r="F11" i="2"/>
  <c r="O26" i="14"/>
  <c r="O24" i="14"/>
  <c r="O21" i="14"/>
  <c r="J24" i="14"/>
  <c r="J23" i="14"/>
  <c r="J22" i="14"/>
  <c r="J21" i="14"/>
  <c r="E26" i="14"/>
  <c r="E20" i="14"/>
  <c r="O15" i="14"/>
  <c r="J15" i="14"/>
  <c r="J14" i="14"/>
  <c r="J13" i="14"/>
  <c r="J12" i="14"/>
  <c r="E12" i="14"/>
  <c r="O25" i="14" l="1"/>
  <c r="H40" i="14" l="1"/>
  <c r="I40" i="14" s="1"/>
  <c r="M40" i="14" l="1"/>
  <c r="N40" i="14" s="1"/>
  <c r="H39" i="14"/>
  <c r="I39" i="14" s="1"/>
  <c r="M50" i="14" l="1"/>
  <c r="N50" i="14" s="1"/>
  <c r="M48" i="14"/>
  <c r="N48" i="14" s="1"/>
  <c r="M47" i="14"/>
  <c r="M46" i="14"/>
  <c r="M45" i="14"/>
  <c r="N45" i="14" s="1"/>
  <c r="M49" i="14"/>
  <c r="H48" i="14"/>
  <c r="I48" i="14" s="1"/>
  <c r="N49" i="14" l="1"/>
  <c r="C50" i="14"/>
  <c r="D50" i="14" s="1"/>
  <c r="C48" i="14"/>
  <c r="D48" i="14" s="1"/>
  <c r="H46" i="14"/>
  <c r="I46" i="14" s="1"/>
  <c r="H47" i="14"/>
  <c r="I47" i="14" s="1"/>
  <c r="H45" i="14"/>
  <c r="I45" i="14" s="1"/>
  <c r="M36" i="14"/>
  <c r="M35" i="14"/>
  <c r="H38" i="14"/>
  <c r="I38" i="14" s="1"/>
  <c r="H37" i="14"/>
  <c r="I37" i="14" s="1"/>
  <c r="H36" i="14"/>
  <c r="C46" i="14" l="1"/>
  <c r="D46" i="14" s="1"/>
  <c r="I36" i="14"/>
  <c r="H41" i="14"/>
  <c r="C45" i="14"/>
  <c r="D45" i="14" s="1"/>
  <c r="C47" i="14"/>
  <c r="D47" i="14" s="1"/>
  <c r="C37" i="14"/>
  <c r="D37" i="14" s="1"/>
  <c r="C36" i="14"/>
  <c r="D36" i="14" s="1"/>
  <c r="M20" i="14"/>
  <c r="H20" i="14" s="1"/>
  <c r="H25" i="14" s="1"/>
  <c r="N20" i="14"/>
  <c r="M44" i="14" s="1"/>
  <c r="N44" i="14" s="1"/>
  <c r="L20" i="14"/>
  <c r="D24" i="14"/>
  <c r="D27" i="14"/>
  <c r="C27" i="14"/>
  <c r="E27" i="14" s="1"/>
  <c r="B27" i="14"/>
  <c r="C24" i="14"/>
  <c r="B24" i="14"/>
  <c r="C23" i="14"/>
  <c r="D23" i="14"/>
  <c r="B23" i="14"/>
  <c r="C22" i="14"/>
  <c r="D22" i="14"/>
  <c r="D21" i="14"/>
  <c r="C21" i="14"/>
  <c r="E23" i="14" l="1"/>
  <c r="E21" i="14"/>
  <c r="M27" i="14"/>
  <c r="M29" i="14" s="1"/>
  <c r="N27" i="14"/>
  <c r="E24" i="14"/>
  <c r="L27" i="14"/>
  <c r="O20" i="14"/>
  <c r="E22" i="14"/>
  <c r="C15" i="14"/>
  <c r="D15" i="14"/>
  <c r="C40" i="14" s="1"/>
  <c r="D40" i="14" s="1"/>
  <c r="B15" i="14"/>
  <c r="C14" i="14"/>
  <c r="O27" i="14" l="1"/>
  <c r="G27" i="14"/>
  <c r="E15" i="14"/>
  <c r="H16" i="14"/>
  <c r="G16" i="14"/>
  <c r="G29" i="14" s="1"/>
  <c r="C16" i="14"/>
  <c r="C29" i="14" l="1"/>
  <c r="I35" i="14"/>
  <c r="I16" i="14"/>
  <c r="C44" i="14"/>
  <c r="D44" i="14" s="1"/>
  <c r="H50" i="14"/>
  <c r="I50" i="14" s="1"/>
  <c r="I20" i="14"/>
  <c r="I25" i="14" s="1"/>
  <c r="M16" i="14"/>
  <c r="I27" i="14" l="1"/>
  <c r="J26" i="14"/>
  <c r="I29" i="14"/>
  <c r="J16" i="14"/>
  <c r="M37" i="14"/>
  <c r="H44" i="14"/>
  <c r="I44" i="14" s="1"/>
  <c r="C51" i="14"/>
  <c r="N36" i="14"/>
  <c r="L51" i="14"/>
  <c r="L41" i="14"/>
  <c r="H51" i="14" l="1"/>
  <c r="L53" i="14"/>
  <c r="J20" i="14"/>
  <c r="H27" i="14"/>
  <c r="D25" i="14"/>
  <c r="H49" i="14"/>
  <c r="D35" i="14"/>
  <c r="B51" i="14"/>
  <c r="D51" i="14" s="1"/>
  <c r="M51" i="14"/>
  <c r="N51" i="14" s="1"/>
  <c r="N35" i="14"/>
  <c r="G51" i="14"/>
  <c r="G53" i="14" s="1"/>
  <c r="J27" i="14" l="1"/>
  <c r="H29" i="14"/>
  <c r="I49" i="14"/>
  <c r="C49" i="14"/>
  <c r="D49" i="14" s="1"/>
  <c r="C25" i="14"/>
  <c r="E25" i="14" s="1"/>
  <c r="J25" i="14"/>
  <c r="B53" i="14"/>
  <c r="I51" i="14"/>
  <c r="H53" i="14" l="1"/>
  <c r="I41" i="14"/>
  <c r="C28" i="2"/>
  <c r="F82" i="2" l="1"/>
  <c r="F33" i="2" l="1"/>
  <c r="F40" i="2" l="1"/>
  <c r="D13" i="1" l="1"/>
  <c r="C13" i="1"/>
  <c r="B13" i="1"/>
  <c r="E120" i="2" l="1"/>
  <c r="E122" i="2" s="1"/>
  <c r="D76" i="2"/>
  <c r="E76" i="2"/>
  <c r="C76" i="2"/>
  <c r="D16" i="10" l="1"/>
  <c r="F9" i="3"/>
  <c r="B16" i="10"/>
  <c r="D56" i="2" l="1"/>
  <c r="D37" i="2" l="1"/>
  <c r="C37" i="2"/>
  <c r="C45" i="2" l="1"/>
  <c r="E32" i="2" l="1"/>
  <c r="C32" i="2"/>
  <c r="C17" i="2"/>
  <c r="C6" i="2"/>
  <c r="C14" i="2" l="1"/>
  <c r="C122" i="2" l="1"/>
  <c r="C103" i="2"/>
  <c r="C99" i="2"/>
  <c r="C93" i="2"/>
  <c r="C88" i="2"/>
  <c r="C85" i="2"/>
  <c r="C80" i="2"/>
  <c r="C60" i="2"/>
  <c r="C56" i="2"/>
  <c r="C52" i="2"/>
  <c r="C48" i="2"/>
  <c r="C44" i="2"/>
  <c r="C41" i="2"/>
  <c r="C23" i="2"/>
  <c r="C20" i="2"/>
  <c r="C47" i="2" l="1"/>
  <c r="C55" i="2"/>
  <c r="C75" i="2"/>
  <c r="C36" i="2"/>
  <c r="C121" i="2"/>
  <c r="C123" i="2" s="1"/>
  <c r="C108" i="2" l="1"/>
  <c r="D41" i="2"/>
  <c r="E41" i="2"/>
  <c r="D44" i="2"/>
  <c r="E44" i="2"/>
  <c r="E16" i="10" l="1"/>
  <c r="F118" i="2" l="1"/>
  <c r="F119" i="2"/>
  <c r="F91" i="2"/>
  <c r="D23" i="2" l="1"/>
  <c r="E20" i="2"/>
  <c r="D20" i="2"/>
  <c r="F22" i="2"/>
  <c r="F21" i="2"/>
  <c r="F20" i="2" l="1"/>
  <c r="D88" i="2" l="1"/>
  <c r="E88" i="2"/>
  <c r="F90" i="2"/>
  <c r="D85" i="2"/>
  <c r="E85" i="2"/>
  <c r="E56" i="2"/>
  <c r="F71" i="2"/>
  <c r="F69" i="2"/>
  <c r="F81" i="2"/>
  <c r="D80" i="2"/>
  <c r="E80" i="2"/>
  <c r="D60" i="2"/>
  <c r="E60" i="2"/>
  <c r="F53" i="2"/>
  <c r="D52" i="2"/>
  <c r="E52" i="2"/>
  <c r="D48" i="2"/>
  <c r="E48" i="2"/>
  <c r="D32" i="2"/>
  <c r="D28" i="2"/>
  <c r="E23" i="2"/>
  <c r="D17" i="2"/>
  <c r="E17" i="2"/>
  <c r="D14" i="2"/>
  <c r="E14" i="2"/>
  <c r="D6" i="2"/>
  <c r="D55" i="2" l="1"/>
  <c r="E55" i="2"/>
  <c r="F56" i="2"/>
  <c r="F28" i="2"/>
  <c r="D120" i="2"/>
  <c r="F120" i="2" s="1"/>
  <c r="D122" i="2" l="1"/>
  <c r="F122" i="2" s="1"/>
  <c r="F102" i="2" l="1"/>
  <c r="E14" i="10" l="1"/>
  <c r="E9" i="10"/>
  <c r="E14" i="1"/>
  <c r="E12" i="1"/>
  <c r="E10" i="1"/>
  <c r="F16" i="2" l="1"/>
  <c r="D99" i="2" l="1"/>
  <c r="E99" i="2"/>
  <c r="F79" i="2" l="1"/>
  <c r="F59" i="2"/>
  <c r="F51" i="2" l="1"/>
  <c r="F35" i="2" l="1"/>
  <c r="F31" i="2"/>
  <c r="E9" i="3" l="1"/>
  <c r="G9" i="3" l="1"/>
  <c r="H9" i="3" l="1"/>
  <c r="F92" i="2" l="1"/>
  <c r="D36" i="2" l="1"/>
  <c r="F62" i="2" l="1"/>
  <c r="F9" i="2" l="1"/>
  <c r="F49" i="2" l="1"/>
  <c r="F87" i="2" l="1"/>
  <c r="D47" i="2" l="1"/>
  <c r="E47" i="2" l="1"/>
  <c r="F52" i="2" l="1"/>
  <c r="D15" i="1" l="1"/>
  <c r="G7" i="3" l="1"/>
  <c r="C15" i="1" l="1"/>
  <c r="E15" i="1" s="1"/>
  <c r="E13" i="1"/>
  <c r="F7" i="3" l="1"/>
  <c r="H7" i="3" l="1"/>
  <c r="F88" i="2"/>
  <c r="E36" i="2" l="1"/>
  <c r="F37" i="2"/>
  <c r="F36" i="2" l="1"/>
  <c r="D75" i="2" l="1"/>
  <c r="F89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8" i="2" l="1"/>
  <c r="F14" i="2"/>
  <c r="F17" i="2"/>
  <c r="E103" i="2"/>
  <c r="D103" i="2"/>
  <c r="F24" i="2"/>
  <c r="B15" i="1"/>
  <c r="F107" i="2"/>
  <c r="F104" i="2"/>
  <c r="F95" i="2"/>
  <c r="F86" i="2"/>
  <c r="F45" i="2"/>
  <c r="F42" i="2"/>
  <c r="F38" i="2"/>
  <c r="F29" i="2"/>
  <c r="F19" i="2"/>
  <c r="F18" i="2"/>
  <c r="F15" i="2"/>
  <c r="E7" i="3" l="1"/>
  <c r="F77" i="2"/>
  <c r="E75" i="2"/>
  <c r="F99" i="2"/>
  <c r="G7" i="8"/>
  <c r="F41" i="2"/>
  <c r="F60" i="2"/>
  <c r="F103" i="2"/>
  <c r="F85" i="2"/>
  <c r="F32" i="2"/>
  <c r="F23" i="2"/>
  <c r="B6" i="4"/>
  <c r="F44" i="2"/>
  <c r="F55" i="2"/>
  <c r="F80" i="2"/>
  <c r="F47" i="2"/>
  <c r="F76" i="2" l="1"/>
  <c r="B4" i="4"/>
  <c r="E41" i="8"/>
  <c r="E7" i="8"/>
  <c r="F75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3" i="2"/>
  <c r="D106" i="2" s="1"/>
  <c r="F94" i="2"/>
  <c r="E93" i="2"/>
  <c r="E106" i="2" l="1"/>
  <c r="D108" i="2"/>
  <c r="F8" i="3" s="1"/>
  <c r="C5" i="4" s="1"/>
  <c r="D121" i="2"/>
  <c r="F117" i="2"/>
  <c r="F93" i="2"/>
  <c r="F6" i="2"/>
  <c r="E121" i="2"/>
  <c r="F106" i="2" l="1"/>
  <c r="D123" i="2"/>
  <c r="F121" i="2"/>
  <c r="E108" i="2"/>
  <c r="G8" i="3" s="1"/>
  <c r="G10" i="3" s="1"/>
  <c r="E123" i="2"/>
  <c r="F123" i="2" l="1"/>
  <c r="F108" i="2"/>
  <c r="H8" i="3"/>
  <c r="C6" i="4"/>
  <c r="L16" i="14"/>
  <c r="L29" i="14" s="1"/>
  <c r="B14" i="14"/>
  <c r="B16" i="14"/>
  <c r="B29" i="14" s="1"/>
  <c r="O14" i="14"/>
  <c r="D14" i="14"/>
  <c r="E14" i="14" s="1"/>
  <c r="M39" i="14"/>
  <c r="N39" i="14" s="1"/>
  <c r="N13" i="14"/>
  <c r="D13" i="14" s="1"/>
  <c r="M38" i="14" l="1"/>
  <c r="M41" i="14" s="1"/>
  <c r="M53" i="14" s="1"/>
  <c r="N16" i="14"/>
  <c r="O16" i="14" s="1"/>
  <c r="E13" i="14"/>
  <c r="D16" i="14"/>
  <c r="C38" i="14"/>
  <c r="C41" i="14" s="1"/>
  <c r="N41" i="14"/>
  <c r="C39" i="14"/>
  <c r="D39" i="14" s="1"/>
  <c r="O13" i="14"/>
  <c r="N38" i="14"/>
  <c r="N29" i="14" l="1"/>
  <c r="D38" i="14"/>
  <c r="D29" i="14"/>
  <c r="C53" i="14" l="1"/>
  <c r="D4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Foret Oldřich</author>
  </authors>
  <commentList>
    <comment ref="A4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3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6351 a 6356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5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52xx,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Foret Oldřich</author>
  </authors>
  <commentList>
    <comment ref="A9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Balabuch Petr</author>
    <author>Ing. Alice Hradilová</author>
    <author>Hradilová Alice</author>
  </authors>
  <commentList>
    <comment ref="C1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 xr:uid="{00000000-0006-0000-0500-000002000000}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 xr:uid="{00000000-0006-0000-0500-000003000000}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 xr:uid="{00000000-0006-0000-0500-000004000000}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 xr:uid="{00000000-0006-0000-0500-000005000000}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 xr:uid="{00000000-0006-0000-0500-000006000000}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Alice Hradilová</author>
  </authors>
  <commentList>
    <comment ref="J7" authorId="0" shapeId="0" xr:uid="{00000000-0006-0000-0800-000001000000}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<sst xmlns="http://schemas.openxmlformats.org/spreadsheetml/2006/main" count="368" uniqueCount="161">
  <si>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</si>
  <si>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</si>
  <si>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</si>
  <si>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</si>
  <si>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</si>
  <si>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</si>
  <si>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</si>
  <si>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</si>
  <si>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</si>
  <si>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</si>
  <si>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</si>
  <si>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</si>
  <si>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</si>
  <si>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</si>
  <si>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</si>
  <si>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</si>
  <si>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</si>
  <si>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</si>
  <si>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</si>
  <si>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</si>
  <si>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</si>
  <si>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</si>
  <si>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</si>
  <si>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</si>
  <si>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</si>
  <si>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</si>
  <si>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</si>
  <si>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</si>
  <si>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</si>
  <si>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</si>
  <si>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</si>
  <si>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</si>
  <si>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</si>
  <si>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</si>
  <si>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</si>
  <si>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</si>
  <si>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</si>
  <si>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</si>
  <si>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</si>
  <si>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</si>
  <si>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</si>
  <si>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</si>
  <si>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</si>
  <si>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</si>
  <si>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</si>
  <si>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</si>
  <si>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</si>
  <si>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</si>
  <si>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</si>
  <si>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</si>
  <si>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</si>
  <si>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</si>
  <si>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</si>
  <si>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</si>
  <si>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</si>
  <si>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</si>
  <si>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</si>
  <si>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</si>
  <si>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</si>
  <si>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</si>
  <si>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</si>
  <si>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</si>
  <si>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</si>
  <si>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</si>
  <si>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</si>
  <si>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</si>
  <si>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</si>
  <si>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</si>
  <si>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</si>
  <si>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</si>
  <si>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</si>
  <si>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</si>
  <si>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</si>
  <si>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</si>
  <si>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</si>
  <si>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</si>
  <si>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</si>
  <si>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</si>
  <si>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</si>
  <si>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</si>
  <si>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</si>
  <si>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</si>
  <si>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</si>
  <si>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</si>
  <si>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</si>
  <si>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</si>
  <si>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</si>
  <si>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</si>
  <si>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</si>
  <si>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</si>
  <si>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</si>
  <si>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</si>
  <si>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</si>
  <si>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</si>
  <si>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</si>
  <si>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</si>
  <si>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</si>
  <si>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</si>
  <si>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</si>
  <si>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</si>
  <si>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</si>
  <si>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</si>
  <si>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</si>
  <si>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</si>
  <si>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</si>
  <si>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</si>
  <si>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</si>
  <si>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</si>
  <si>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</si>
  <si>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</si>
  <si>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</si>
  <si>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</si>
  <si>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</si>
  <si>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</si>
  <si>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</si>
  <si>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</si>
  <si>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</si>
  <si>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</si>
  <si>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</si>
  <si>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</si>
  <si>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</si>
  <si>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</si>
  <si>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</si>
  <si>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</si>
  <si>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</si>
  <si>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</si>
  <si>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</si>
  <si>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</si>
  <si>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</si>
  <si>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</si>
  <si>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</si>
  <si>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</si>
  <si>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</si>
  <si>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</si>
  <si>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</si>
  <si>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Výdaje  celkem</t>
  </si>
  <si>
    <t>9 = 8/7</t>
  </si>
  <si>
    <t>z toho: dotační programy/tituly                 .</t>
  </si>
  <si>
    <t xml:space="preserve">            KIDSOK - dopravní obslužnost</t>
  </si>
  <si>
    <t>13 = 12/11</t>
  </si>
  <si>
    <t>z toho: neinvestiční</t>
  </si>
  <si>
    <t xml:space="preserve">            investiční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</si>
  <si>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</si>
  <si>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</si>
  <si>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</si>
  <si>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</si>
  <si>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>1 - Daňové příjmy</t>
  </si>
  <si>
    <t>2 - Nedaňové příjmy</t>
  </si>
  <si>
    <t>4 - Přijaté transfery</t>
  </si>
  <si>
    <t xml:space="preserve">           běžné výdaje a ostatní dopočet</t>
  </si>
  <si>
    <t>Personální útvar</t>
  </si>
  <si>
    <t>Nouzové ubytování</t>
  </si>
  <si>
    <t>Odbor Krajský stavební úřad</t>
  </si>
  <si>
    <t>1. Plnění rozpočtu příjmů Olomouckého kraje k 30. 9. 2024</t>
  </si>
  <si>
    <t>2. Plnění rozpočtu výdajů Olomouckého kraje k 30. 9. 2024</t>
  </si>
  <si>
    <t>3. Financování Olomouckého kraje k 30. 9. 2024</t>
  </si>
  <si>
    <t>Rekapitulace k 30. 9. 2024:</t>
  </si>
  <si>
    <t>Bilance Olomouckého kraje k 30. 9. 2024 (bez konsolidace)</t>
  </si>
  <si>
    <t>skutečnost 09/2024</t>
  </si>
  <si>
    <t>skutečnost 09/2023</t>
  </si>
  <si>
    <t>Meziroční srovnání rozpočtu Olomouckého kraje k 30. 9. 2024 a 30. 9.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</si>
</sst>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54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13" fillId="0" borderId="54" xfId="0" applyFont="1" applyFill="1" applyBorder="1"/>
    <xf numFmtId="3" fontId="8" fillId="0" borderId="18" xfId="0" applyNumberFormat="1" applyFont="1" applyFill="1" applyBorder="1"/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9" fillId="0" borderId="62" xfId="0" applyNumberFormat="1" applyFont="1" applyFill="1" applyBorder="1"/>
    <xf numFmtId="3" fontId="9" fillId="7" borderId="62" xfId="0" applyNumberFormat="1" applyFont="1" applyFill="1" applyBorder="1"/>
    <xf numFmtId="3" fontId="9" fillId="7" borderId="61" xfId="0" applyNumberFormat="1" applyFont="1" applyFill="1" applyBorder="1"/>
    <xf numFmtId="3" fontId="9" fillId="0" borderId="61" xfId="0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3" fontId="9" fillId="0" borderId="64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8" fillId="7" borderId="52" xfId="0" applyNumberFormat="1" applyFont="1" applyFill="1" applyBorder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3" fontId="13" fillId="7" borderId="70" xfId="0" applyFont="1" applyFill="1" applyBorder="1" applyAlignment="1">
      <alignment vertical="center"/>
    </xf>
    <xf numFmtId="166" fontId="0" fillId="0" borderId="0" xfId="0" applyNumberFormat="1" applyFill="1"/>
    <xf numFmtId="3" fontId="8" fillId="0" borderId="70" xfId="0" applyNumberFormat="1" applyFont="1" applyFill="1" applyBorder="1"/>
    <xf numFmtId="164" fontId="13" fillId="0" borderId="71" xfId="0" applyNumberFormat="1" applyFont="1" applyBorder="1" applyAlignment="1">
      <alignment horizontal="right"/>
    </xf>
    <xf numFmtId="3" fontId="8" fillId="0" borderId="73" xfId="0" applyNumberFormat="1" applyFont="1" applyFill="1" applyBorder="1"/>
    <xf numFmtId="3" fontId="1" fillId="0" borderId="72" xfId="0" applyFont="1" applyFill="1" applyBorder="1" applyAlignment="1">
      <alignment horizontal="center"/>
    </xf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13" fillId="7" borderId="71" xfId="0" applyNumberFormat="1" applyFont="1" applyFill="1" applyBorder="1" applyAlignment="1">
      <alignment vertical="center"/>
    </xf>
    <xf numFmtId="164" fontId="9" fillId="0" borderId="75" xfId="0" applyNumberFormat="1" applyFont="1" applyBorder="1" applyAlignment="1">
      <alignment horizontal="right"/>
    </xf>
    <xf numFmtId="3" fontId="7" fillId="0" borderId="67" xfId="0" applyFont="1" applyFill="1" applyBorder="1"/>
    <xf numFmtId="164" fontId="9" fillId="0" borderId="76" xfId="0" applyNumberFormat="1" applyFont="1" applyBorder="1" applyAlignment="1">
      <alignment horizontal="right"/>
    </xf>
    <xf numFmtId="3" fontId="9" fillId="0" borderId="67" xfId="0" applyFont="1" applyFill="1" applyBorder="1"/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164" fontId="9" fillId="0" borderId="79" xfId="0" applyNumberFormat="1" applyFont="1" applyBorder="1" applyAlignment="1">
      <alignment horizontal="righ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9" fillId="0" borderId="67" xfId="0" applyNumberFormat="1" applyFont="1" applyFill="1" applyBorder="1"/>
    <xf numFmtId="3" fontId="9" fillId="0" borderId="77" xfId="0" applyNumberFormat="1" applyFont="1" applyFill="1" applyBorder="1"/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9" fillId="0" borderId="74" xfId="0" applyNumberFormat="1" applyFont="1" applyFill="1" applyBorder="1"/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164" fontId="26" fillId="0" borderId="76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3" fontId="7" fillId="7" borderId="63" xfId="0" applyFont="1" applyFill="1" applyBorder="1"/>
    <xf numFmtId="3" fontId="9" fillId="0" borderId="63" xfId="0" applyNumberFormat="1" applyFont="1" applyFill="1" applyBorder="1"/>
    <xf numFmtId="3" fontId="7" fillId="7" borderId="77" xfId="0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6" fontId="13" fillId="7" borderId="52" xfId="0" applyNumberFormat="1" applyFont="1" applyFill="1" applyBorder="1" applyAlignment="1">
      <alignment vertical="center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3" fontId="13" fillId="7" borderId="46" xfId="0" applyFont="1" applyFill="1" applyBorder="1" applyAlignment="1">
      <alignment vertical="center"/>
    </xf>
    <xf numFmtId="3" fontId="13" fillId="7" borderId="27" xfId="0" applyFont="1" applyFill="1" applyBorder="1" applyAlignment="1">
      <alignment vertical="center"/>
    </xf>
    <xf numFmtId="164" fontId="13" fillId="7" borderId="47" xfId="0" applyNumberFormat="1" applyFont="1" applyFill="1" applyBorder="1" applyAlignment="1">
      <alignment vertical="center"/>
    </xf>
    <xf numFmtId="166" fontId="13" fillId="7" borderId="66" xfId="0" applyNumberFormat="1" applyFont="1" applyFill="1" applyBorder="1" applyAlignment="1">
      <alignment vertical="center"/>
    </xf>
    <xf numFmtId="166" fontId="13" fillId="7" borderId="93" xfId="0" applyNumberFormat="1" applyFont="1" applyFill="1" applyBorder="1" applyAlignment="1">
      <alignment vertical="center"/>
    </xf>
    <xf numFmtId="166" fontId="13" fillId="7" borderId="94" xfId="0" applyNumberFormat="1" applyFont="1" applyFill="1" applyBorder="1" applyAlignment="1">
      <alignment vertical="center"/>
    </xf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9" fillId="0" borderId="84" xfId="0" applyNumberFormat="1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8" fillId="7" borderId="69" xfId="0" applyNumberFormat="1" applyFont="1" applyFill="1" applyBorder="1"/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13" fillId="7" borderId="52" xfId="0" applyFont="1" applyFill="1" applyBorder="1" applyAlignment="1">
      <alignment vertical="center"/>
    </xf>
    <xf numFmtId="3" fontId="5" fillId="8" borderId="87" xfId="0" applyFont="1" applyFill="1" applyBorder="1" applyAlignment="1">
      <alignment horizontal="center" vertical="center" wrapText="1"/>
    </xf>
    <xf numFmtId="3" fontId="13" fillId="7" borderId="66" xfId="0" applyFont="1" applyFill="1" applyBorder="1" applyAlignment="1">
      <alignment vertical="center"/>
    </xf>
    <xf numFmtId="3" fontId="7" fillId="7" borderId="62" xfId="0" applyFont="1" applyFill="1" applyBorder="1"/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7" fillId="7" borderId="74" xfId="0" applyFont="1" applyFill="1" applyBorder="1"/>
    <xf numFmtId="3" fontId="13" fillId="0" borderId="66" xfId="0" applyFont="1" applyFill="1" applyBorder="1"/>
    <xf numFmtId="3" fontId="13" fillId="7" borderId="69" xfId="0" applyFont="1" applyFill="1" applyBorder="1" applyAlignment="1">
      <alignment vertical="center"/>
    </xf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7" fillId="0" borderId="61" xfId="0" applyNumberFormat="1" applyFont="1" applyFill="1" applyBorder="1"/>
    <xf numFmtId="3" fontId="20" fillId="0" borderId="69" xfId="0" applyFont="1" applyFill="1" applyBorder="1"/>
    <xf numFmtId="3" fontId="32" fillId="0" borderId="70" xfId="0" applyNumberFormat="1" applyFont="1" applyFill="1" applyBorder="1"/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3" fontId="25" fillId="0" borderId="67" xfId="0" applyNumberFormat="1" applyFont="1" applyFill="1" applyBorder="1" applyAlignment="1">
      <alignment horizontal="left"/>
    </xf>
    <xf numFmtId="3" fontId="7" fillId="0" borderId="76" xfId="0" applyNumberFormat="1" applyFont="1" applyFill="1" applyBorder="1"/>
    <xf numFmtId="3" fontId="25" fillId="0" borderId="76" xfId="0" applyNumberFormat="1" applyFont="1" applyFill="1" applyBorder="1" applyAlignment="1">
      <alignment horizontal="left"/>
    </xf>
    <xf numFmtId="3" fontId="26" fillId="0" borderId="77" xfId="0" applyNumberFormat="1" applyFont="1" applyFill="1" applyBorder="1" applyAlignment="1">
      <alignment horizontal="left"/>
    </xf>
    <xf numFmtId="3" fontId="26" fillId="0" borderId="63" xfId="0" applyNumberFormat="1" applyFont="1" applyFill="1" applyBorder="1" applyAlignment="1">
      <alignment horizontal="left"/>
    </xf>
    <xf numFmtId="164" fontId="13" fillId="0" borderId="53" xfId="0" applyNumberFormat="1" applyFont="1" applyBorder="1" applyAlignment="1">
      <alignment horizontal="right"/>
    </xf>
    <xf numFmtId="3" fontId="25" fillId="0" borderId="63" xfId="0" applyNumberFormat="1" applyFont="1" applyFill="1" applyBorder="1" applyAlignment="1">
      <alignment horizontal="left"/>
    </xf>
    <xf numFmtId="164" fontId="26" fillId="0" borderId="78" xfId="0" applyNumberFormat="1" applyFont="1" applyBorder="1" applyAlignment="1">
      <alignment horizontal="right"/>
    </xf>
    <xf numFmtId="3" fontId="25" fillId="0" borderId="77" xfId="0" applyNumberFormat="1" applyFont="1" applyFill="1" applyBorder="1" applyAlignment="1">
      <alignment horizontal="left"/>
    </xf>
    <xf numFmtId="0" fontId="20" fillId="0" borderId="5" xfId="1" applyFont="1" applyFill="1" applyBorder="1" applyAlignment="1"/>
    <xf numFmtId="0" fontId="0" fillId="0" borderId="8" xfId="2" applyFont="1" applyFill="1" applyBorder="1"/>
    <xf numFmtId="0" fontId="0" fillId="0" borderId="5" xfId="2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164" fontId="7" fillId="0" borderId="76" xfId="0" applyNumberFormat="1" applyFont="1" applyFill="1" applyBorder="1" applyAlignment="1">
      <alignment horizontal="right"/>
    </xf>
    <xf numFmtId="3" fontId="8" fillId="0" borderId="52" xfId="0" applyNumberFormat="1" applyFont="1" applyFill="1" applyBorder="1"/>
    <xf numFmtId="3" fontId="7" fillId="0" borderId="62" xfId="0" applyFont="1" applyFill="1" applyBorder="1"/>
    <xf numFmtId="3" fontId="7" fillId="0" borderId="63" xfId="0" applyFont="1" applyFill="1" applyBorder="1"/>
    <xf numFmtId="3" fontId="13" fillId="0" borderId="52" xfId="0" applyFont="1" applyFill="1" applyBorder="1" applyAlignment="1">
      <alignment vertical="center"/>
    </xf>
    <xf numFmtId="164" fontId="26" fillId="0" borderId="76" xfId="0" applyNumberFormat="1" applyFont="1" applyFill="1" applyBorder="1" applyAlignment="1">
      <alignment horizontal="right"/>
    </xf>
    <xf numFmtId="164" fontId="25" fillId="0" borderId="76" xfId="0" applyNumberFormat="1" applyFont="1" applyFill="1" applyBorder="1" applyAlignment="1">
      <alignment horizontal="left"/>
    </xf>
    <xf numFmtId="3" fontId="26" fillId="0" borderId="67" xfId="0" applyNumberFormat="1" applyFont="1" applyFill="1" applyBorder="1" applyAlignment="1">
      <alignment horizontal="left"/>
    </xf>
    <xf numFmtId="3" fontId="26" fillId="0" borderId="61" xfId="0" applyNumberFormat="1" applyFont="1" applyFill="1" applyBorder="1" applyAlignment="1">
      <alignment horizontal="left"/>
    </xf>
    <xf numFmtId="164" fontId="9" fillId="0" borderId="76" xfId="0" applyNumberFormat="1" applyFont="1" applyFill="1" applyBorder="1" applyAlignment="1">
      <alignment horizontal="right"/>
    </xf>
    <xf numFmtId="164" fontId="26" fillId="0" borderId="76" xfId="0" applyNumberFormat="1" applyFont="1" applyFill="1" applyBorder="1" applyAlignment="1">
      <alignment horizontal="left"/>
    </xf>
    <xf numFmtId="3" fontId="13" fillId="0" borderId="59" xfId="0" applyNumberFormat="1" applyFont="1" applyFill="1" applyBorder="1" applyAlignment="1">
      <alignment vertical="center"/>
    </xf>
    <xf numFmtId="164" fontId="13" fillId="0" borderId="60" xfId="0" applyNumberFormat="1" applyFont="1" applyFill="1" applyBorder="1" applyAlignment="1">
      <alignment vertical="center"/>
    </xf>
    <xf numFmtId="164" fontId="9" fillId="0" borderId="20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13" fillId="0" borderId="24" xfId="0" applyNumberFormat="1" applyFont="1" applyBorder="1" applyAlignment="1">
      <alignment horizontal="right"/>
    </xf>
    <xf numFmtId="164" fontId="13" fillId="0" borderId="23" xfId="0" applyNumberFormat="1" applyFont="1" applyBorder="1" applyAlignment="1">
      <alignment horizontal="right"/>
    </xf>
    <xf numFmtId="164" fontId="9" fillId="0" borderId="25" xfId="0" applyNumberFormat="1" applyFont="1" applyFill="1" applyBorder="1" applyAlignment="1">
      <alignment horizontal="right"/>
    </xf>
    <xf numFmtId="164" fontId="13" fillId="0" borderId="24" xfId="0" applyNumberFormat="1" applyFont="1" applyFill="1" applyBorder="1" applyAlignment="1">
      <alignment horizontal="right"/>
    </xf>
    <xf numFmtId="164" fontId="13" fillId="0" borderId="23" xfId="0" applyNumberFormat="1" applyFont="1" applyFill="1" applyBorder="1" applyAlignment="1">
      <alignment horizontal="right"/>
    </xf>
    <xf numFmtId="164" fontId="9" fillId="0" borderId="21" xfId="0" applyNumberFormat="1" applyFont="1" applyBorder="1" applyAlignment="1">
      <alignment horizontal="right" vertical="top"/>
    </xf>
    <xf numFmtId="164" fontId="9" fillId="0" borderId="25" xfId="0" applyNumberFormat="1" applyFont="1" applyBorder="1" applyAlignment="1">
      <alignment horizontal="right" vertical="top"/>
    </xf>
    <xf numFmtId="164" fontId="13" fillId="0" borderId="22" xfId="0" applyNumberFormat="1" applyFont="1" applyBorder="1" applyAlignment="1">
      <alignment horizontal="right"/>
    </xf>
    <xf numFmtId="164" fontId="8" fillId="0" borderId="33" xfId="0" applyNumberFormat="1" applyFont="1" applyFill="1" applyBorder="1" applyAlignment="1">
      <alignment horizontal="right"/>
    </xf>
    <xf numFmtId="164" fontId="8" fillId="0" borderId="34" xfId="0" applyNumberFormat="1" applyFont="1" applyFill="1" applyBorder="1" applyAlignment="1">
      <alignment horizontal="right"/>
    </xf>
    <xf numFmtId="164" fontId="9" fillId="0" borderId="78" xfId="0" applyNumberFormat="1" applyFont="1" applyFill="1" applyBorder="1" applyAlignment="1">
      <alignment horizontal="right"/>
    </xf>
    <xf numFmtId="3" fontId="7" fillId="0" borderId="77" xfId="0" applyFont="1" applyFill="1" applyBorder="1"/>
    <xf numFmtId="3" fontId="21" fillId="0" borderId="28" xfId="1" applyNumberFormat="1" applyFont="1" applyFill="1" applyBorder="1" applyAlignment="1">
      <alignment horizontal="center"/>
    </xf>
    <xf numFmtId="3" fontId="7" fillId="0" borderId="74" xfId="0" applyNumberFormat="1" applyFont="1" applyFill="1" applyBorder="1"/>
    <xf numFmtId="3" fontId="7" fillId="0" borderId="62" xfId="0" applyNumberFormat="1" applyFont="1" applyFill="1" applyBorder="1"/>
    <xf numFmtId="164" fontId="7" fillId="0" borderId="75" xfId="0" applyNumberFormat="1" applyFont="1" applyFill="1" applyBorder="1" applyAlignment="1">
      <alignment horizontal="right"/>
    </xf>
    <xf numFmtId="3" fontId="25" fillId="0" borderId="64" xfId="0" applyNumberFormat="1" applyFont="1" applyFill="1" applyBorder="1" applyAlignment="1">
      <alignment horizontal="left"/>
    </xf>
    <xf numFmtId="164" fontId="25" fillId="0" borderId="79" xfId="0" applyNumberFormat="1" applyFont="1" applyFill="1" applyBorder="1" applyAlignment="1">
      <alignment horizontal="right"/>
    </xf>
    <xf numFmtId="3" fontId="7" fillId="0" borderId="67" xfId="0" applyNumberFormat="1" applyFont="1" applyFill="1" applyBorder="1"/>
    <xf numFmtId="164" fontId="13" fillId="0" borderId="71" xfId="0" applyNumberFormat="1" applyFont="1" applyFill="1" applyBorder="1" applyAlignment="1">
      <alignment horizontal="right"/>
    </xf>
    <xf numFmtId="3" fontId="7" fillId="0" borderId="64" xfId="0" applyNumberFormat="1" applyFont="1" applyFill="1" applyBorder="1"/>
    <xf numFmtId="164" fontId="7" fillId="0" borderId="79" xfId="0" applyNumberFormat="1" applyFont="1" applyFill="1" applyBorder="1" applyAlignment="1">
      <alignment horizontal="right"/>
    </xf>
    <xf numFmtId="164" fontId="20" fillId="0" borderId="71" xfId="0" applyNumberFormat="1" applyFont="1" applyFill="1" applyBorder="1" applyAlignment="1">
      <alignment horizontal="right"/>
    </xf>
    <xf numFmtId="3" fontId="20" fillId="0" borderId="16" xfId="1" applyNumberFormat="1" applyFont="1" applyFill="1" applyBorder="1"/>
    <xf numFmtId="164" fontId="13" fillId="0" borderId="21" xfId="0" applyNumberFormat="1" applyFont="1" applyFill="1" applyBorder="1" applyAlignment="1">
      <alignment horizontal="right"/>
    </xf>
    <xf numFmtId="3" fontId="25" fillId="0" borderId="6" xfId="1" applyNumberFormat="1" applyFont="1" applyFill="1" applyBorder="1"/>
    <xf numFmtId="164" fontId="9" fillId="0" borderId="21" xfId="0" applyNumberFormat="1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164" fontId="26" fillId="0" borderId="21" xfId="0" applyNumberFormat="1" applyFont="1" applyFill="1" applyBorder="1" applyAlignment="1">
      <alignment horizontal="right"/>
    </xf>
    <xf numFmtId="164" fontId="26" fillId="0" borderId="25" xfId="0" applyNumberFormat="1" applyFont="1" applyFill="1" applyBorder="1" applyAlignment="1">
      <alignment horizontal="right"/>
    </xf>
    <xf numFmtId="3" fontId="20" fillId="0" borderId="28" xfId="1" applyNumberFormat="1" applyFont="1" applyFill="1" applyBorder="1"/>
    <xf numFmtId="164" fontId="13" fillId="0" borderId="55" xfId="0" applyNumberFormat="1" applyFont="1" applyFill="1" applyBorder="1" applyAlignment="1">
      <alignment horizontal="right"/>
    </xf>
    <xf numFmtId="3" fontId="20" fillId="0" borderId="9" xfId="1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164" fontId="9" fillId="0" borderId="21" xfId="0" applyNumberFormat="1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164" fontId="9" fillId="0" borderId="22" xfId="0" applyNumberFormat="1" applyFont="1" applyFill="1" applyBorder="1" applyAlignment="1">
      <alignment horizontal="right"/>
    </xf>
    <xf numFmtId="3" fontId="7" fillId="0" borderId="9" xfId="1" applyNumberFormat="1" applyFont="1" applyFill="1" applyBorder="1" applyProtection="1">
      <protection locked="0"/>
    </xf>
    <xf numFmtId="3" fontId="7" fillId="0" borderId="28" xfId="1" applyNumberFormat="1" applyFont="1" applyFill="1" applyBorder="1" applyAlignment="1">
      <alignment vertical="center"/>
    </xf>
    <xf numFmtId="164" fontId="7" fillId="0" borderId="24" xfId="0" applyNumberFormat="1" applyFont="1" applyFill="1" applyBorder="1"/>
    <xf numFmtId="164" fontId="9" fillId="0" borderId="79" xfId="0" applyNumberFormat="1" applyFont="1" applyFill="1" applyBorder="1" applyAlignment="1">
      <alignment horizontal="right"/>
    </xf>
    <xf numFmtId="164" fontId="26" fillId="0" borderId="79" xfId="0" applyNumberFormat="1" applyFont="1" applyFill="1" applyBorder="1" applyAlignment="1">
      <alignment horizontal="right"/>
    </xf>
    <xf numFmtId="164" fontId="7" fillId="0" borderId="72" xfId="0" applyNumberFormat="1" applyFont="1" applyFill="1" applyBorder="1"/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4">
    <cellStyle name="Normální" xfId="0" builtinId="0"/>
    <cellStyle name="Normální 2 2" xfId="2" xr:uid="{00000000-0005-0000-0000-000001000000}"/>
    <cellStyle name="normální_Kopie - 8. - Závěrečný účet 2009 - Příloha č. 3 (výdaje)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7859108</c:v>
                </c:pt>
                <c:pt idx="1">
                  <c:v>8464434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23765669</c:v>
                </c:pt>
                <c:pt idx="1">
                  <c:v>25413357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19834188</c:v>
                </c:pt>
                <c:pt idx="1">
                  <c:v>17025427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7859108</c:v>
                </c:pt>
                <c:pt idx="1">
                  <c:v>8464434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23765669</c:v>
                </c:pt>
                <c:pt idx="1">
                  <c:v>25413357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19834188</c:v>
                </c:pt>
                <c:pt idx="1">
                  <c:v>17025427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7859108</c:v>
                </c:pt>
                <c:pt idx="1">
                  <c:v>8464434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23765669</c:v>
                </c:pt>
                <c:pt idx="1">
                  <c:v>25413357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19834188</c:v>
                </c:pt>
                <c:pt idx="1">
                  <c:v>17025427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58"/>
  <sheetViews>
    <sheetView showGridLines="0" tabSelected="1" view="pageBreakPreview" zoomScale="110" zoomScaleNormal="100" zoomScaleSheetLayoutView="110" workbookViewId="0">
      <selection activeCell="A32" sqref="A32:E32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6" customWidth="1"/>
    <col min="4" max="4" width="12.7109375" style="166" customWidth="1"/>
    <col min="5" max="5" width="6.570312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7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36" t="s">
        <v>157</v>
      </c>
      <c r="B1" s="336"/>
      <c r="C1" s="336"/>
      <c r="D1" s="336"/>
      <c r="E1" s="336"/>
      <c r="F1" s="336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18" t="s">
        <v>130</v>
      </c>
      <c r="C3" s="519"/>
      <c r="D3" s="519"/>
      <c r="E3" s="520"/>
      <c r="F3" s="346"/>
      <c r="G3" s="514" t="s">
        <v>131</v>
      </c>
      <c r="H3" s="515"/>
      <c r="I3" s="515"/>
      <c r="J3" s="516"/>
      <c r="K3" s="346"/>
      <c r="L3" s="511" t="s">
        <v>132</v>
      </c>
      <c r="M3" s="512"/>
      <c r="N3" s="512"/>
      <c r="O3" s="513"/>
    </row>
    <row r="4" spans="1:15" s="334" customFormat="1" ht="20.100000000000001" customHeight="1" x14ac:dyDescent="0.2">
      <c r="A4" s="367" t="s">
        <v>1</v>
      </c>
      <c r="B4" s="363" t="s">
        <v>11</v>
      </c>
      <c r="C4" s="363" t="s">
        <v>12</v>
      </c>
      <c r="D4" s="363" t="s">
        <v>4</v>
      </c>
      <c r="E4" s="364" t="s">
        <v>5</v>
      </c>
      <c r="F4" s="348"/>
      <c r="G4" s="369" t="s">
        <v>11</v>
      </c>
      <c r="H4" s="363" t="s">
        <v>12</v>
      </c>
      <c r="I4" s="363" t="s">
        <v>4</v>
      </c>
      <c r="J4" s="364" t="s">
        <v>5</v>
      </c>
      <c r="K4" s="348"/>
      <c r="L4" s="369" t="s">
        <v>11</v>
      </c>
      <c r="M4" s="363" t="s">
        <v>12</v>
      </c>
      <c r="N4" s="363" t="s">
        <v>4</v>
      </c>
      <c r="O4" s="364" t="s">
        <v>5</v>
      </c>
    </row>
    <row r="5" spans="1:15" s="4" customFormat="1" ht="12" thickBot="1" x14ac:dyDescent="0.25">
      <c r="A5" s="368">
        <v>1</v>
      </c>
      <c r="B5" s="330">
        <v>2</v>
      </c>
      <c r="C5" s="330">
        <v>3</v>
      </c>
      <c r="D5" s="330">
        <v>4</v>
      </c>
      <c r="E5" s="366" t="s">
        <v>95</v>
      </c>
      <c r="F5" s="349"/>
      <c r="G5" s="373">
        <v>6</v>
      </c>
      <c r="H5" s="374">
        <v>7</v>
      </c>
      <c r="I5" s="374">
        <v>8</v>
      </c>
      <c r="J5" s="375" t="s">
        <v>136</v>
      </c>
      <c r="K5" s="349"/>
      <c r="L5" s="377">
        <v>10</v>
      </c>
      <c r="M5" s="330">
        <v>11</v>
      </c>
      <c r="N5" s="330">
        <v>12</v>
      </c>
      <c r="O5" s="366" t="s">
        <v>139</v>
      </c>
    </row>
    <row r="6" spans="1:15" ht="15" thickTop="1" x14ac:dyDescent="0.2">
      <c r="A6" s="365" t="s">
        <v>146</v>
      </c>
      <c r="B6" s="486">
        <f>SUM(B7:B10)</f>
        <v>7135330</v>
      </c>
      <c r="C6" s="486">
        <f t="shared" ref="C6" si="0">SUM(C7:C10)</f>
        <v>7175908</v>
      </c>
      <c r="D6" s="486">
        <f>SUM(D7:D10)</f>
        <v>5498090</v>
      </c>
      <c r="E6" s="487">
        <f>(D6/C6)*100</f>
        <v>76.618735914674502</v>
      </c>
      <c r="F6" s="350"/>
      <c r="G6" s="479">
        <f>G7+G8</f>
        <v>7101330</v>
      </c>
      <c r="H6" s="480">
        <f>H7+H8</f>
        <v>7141908</v>
      </c>
      <c r="I6" s="480">
        <f>I7+I8</f>
        <v>5462916</v>
      </c>
      <c r="J6" s="481">
        <f>(I6/H6)*100</f>
        <v>76.490988122501719</v>
      </c>
      <c r="K6" s="378"/>
      <c r="L6" s="479">
        <f>SUM(L7:L10)</f>
        <v>34000</v>
      </c>
      <c r="M6" s="480">
        <f>SUM(M7:M10)</f>
        <v>34000</v>
      </c>
      <c r="N6" s="480">
        <f>SUM(N7:N10)</f>
        <v>35174</v>
      </c>
      <c r="O6" s="481">
        <f>(N6/M6)*100</f>
        <v>103.45294117647059</v>
      </c>
    </row>
    <row r="7" spans="1:15" ht="14.25" x14ac:dyDescent="0.2">
      <c r="A7" s="427" t="s">
        <v>126</v>
      </c>
      <c r="B7" s="428">
        <f t="shared" ref="B7:D10" si="1">G7+L7</f>
        <v>7100000</v>
      </c>
      <c r="C7" s="428">
        <f t="shared" si="1"/>
        <v>7140578</v>
      </c>
      <c r="D7" s="482">
        <f t="shared" si="1"/>
        <v>5461578</v>
      </c>
      <c r="E7" s="483">
        <f t="shared" ref="E7:E11" si="2">(D7/C7)*100</f>
        <v>76.486497311562175</v>
      </c>
      <c r="F7" s="350"/>
      <c r="G7" s="428">
        <f>1100000+70000+230000+2000000+3700000</f>
        <v>7100000</v>
      </c>
      <c r="H7" s="428">
        <f>1100000+70000+230000+2000000+3700000+40578</f>
        <v>7140578</v>
      </c>
      <c r="I7" s="482">
        <f>954663+59386+239095+1378388+40578+2789468</f>
        <v>5461578</v>
      </c>
      <c r="J7" s="483">
        <f>(I7/H7)*100</f>
        <v>76.486497311562175</v>
      </c>
      <c r="K7" s="378"/>
      <c r="L7" s="428">
        <v>0</v>
      </c>
      <c r="M7" s="428">
        <v>0</v>
      </c>
      <c r="N7" s="482">
        <v>0</v>
      </c>
      <c r="O7" s="483">
        <v>0</v>
      </c>
    </row>
    <row r="8" spans="1:15" ht="14.25" x14ac:dyDescent="0.2">
      <c r="A8" s="427" t="s">
        <v>127</v>
      </c>
      <c r="B8" s="428">
        <f t="shared" si="1"/>
        <v>1330</v>
      </c>
      <c r="C8" s="428">
        <f t="shared" si="1"/>
        <v>1330</v>
      </c>
      <c r="D8" s="482">
        <f t="shared" si="1"/>
        <v>1338</v>
      </c>
      <c r="E8" s="483">
        <f t="shared" si="2"/>
        <v>100.6015037593985</v>
      </c>
      <c r="F8" s="350"/>
      <c r="G8" s="428">
        <v>1330</v>
      </c>
      <c r="H8" s="428">
        <v>1330</v>
      </c>
      <c r="I8" s="482">
        <v>1338</v>
      </c>
      <c r="J8" s="483">
        <f>(I8/H8)*100</f>
        <v>100.6015037593985</v>
      </c>
      <c r="K8" s="378"/>
      <c r="L8" s="428">
        <v>0</v>
      </c>
      <c r="M8" s="428">
        <v>0</v>
      </c>
      <c r="N8" s="482">
        <v>0</v>
      </c>
      <c r="O8" s="483">
        <v>0</v>
      </c>
    </row>
    <row r="9" spans="1:15" ht="14.25" x14ac:dyDescent="0.2">
      <c r="A9" s="429" t="s">
        <v>143</v>
      </c>
      <c r="B9" s="428">
        <f t="shared" si="1"/>
        <v>4000</v>
      </c>
      <c r="C9" s="428">
        <f t="shared" si="1"/>
        <v>4000</v>
      </c>
      <c r="D9" s="428">
        <f t="shared" si="1"/>
        <v>2482</v>
      </c>
      <c r="E9" s="483">
        <f>(D9/C9)*100</f>
        <v>62.050000000000004</v>
      </c>
      <c r="F9" s="350"/>
      <c r="G9" s="428">
        <v>0</v>
      </c>
      <c r="H9" s="428">
        <v>0</v>
      </c>
      <c r="I9" s="482">
        <v>0</v>
      </c>
      <c r="J9" s="483">
        <v>0</v>
      </c>
      <c r="K9" s="378"/>
      <c r="L9" s="428">
        <v>4000</v>
      </c>
      <c r="M9" s="428">
        <v>4000</v>
      </c>
      <c r="N9" s="482">
        <v>2482</v>
      </c>
      <c r="O9" s="483">
        <f>(N9/M9)*100</f>
        <v>62.050000000000004</v>
      </c>
    </row>
    <row r="10" spans="1:15" ht="14.25" x14ac:dyDescent="0.2">
      <c r="A10" s="430" t="s">
        <v>144</v>
      </c>
      <c r="B10" s="428">
        <f t="shared" si="1"/>
        <v>30000</v>
      </c>
      <c r="C10" s="428">
        <f t="shared" si="1"/>
        <v>30000</v>
      </c>
      <c r="D10" s="428">
        <f t="shared" si="1"/>
        <v>32692</v>
      </c>
      <c r="E10" s="483">
        <f t="shared" si="2"/>
        <v>108.97333333333334</v>
      </c>
      <c r="F10" s="350"/>
      <c r="G10" s="428">
        <v>0</v>
      </c>
      <c r="H10" s="428">
        <v>0</v>
      </c>
      <c r="I10" s="482">
        <v>0</v>
      </c>
      <c r="J10" s="483">
        <v>0</v>
      </c>
      <c r="K10" s="378"/>
      <c r="L10" s="428">
        <v>30000</v>
      </c>
      <c r="M10" s="428">
        <v>30000</v>
      </c>
      <c r="N10" s="482">
        <v>32692</v>
      </c>
      <c r="O10" s="483">
        <f>(N10/M10)*100</f>
        <v>108.97333333333334</v>
      </c>
    </row>
    <row r="11" spans="1:15" ht="14.25" x14ac:dyDescent="0.2">
      <c r="A11" s="365" t="s">
        <v>147</v>
      </c>
      <c r="B11" s="424">
        <v>319960</v>
      </c>
      <c r="C11" s="424">
        <v>666794</v>
      </c>
      <c r="D11" s="424">
        <v>737393</v>
      </c>
      <c r="E11" s="451">
        <f t="shared" si="2"/>
        <v>110.58782772490454</v>
      </c>
      <c r="F11" s="350"/>
      <c r="G11" s="484">
        <f>B11-L11</f>
        <v>319960</v>
      </c>
      <c r="H11" s="424">
        <f>C11-M11</f>
        <v>619952</v>
      </c>
      <c r="I11" s="424">
        <f>D11-N11</f>
        <v>690204</v>
      </c>
      <c r="J11" s="432">
        <f t="shared" ref="J11" si="3">(I11/H11)*100</f>
        <v>111.33184504606808</v>
      </c>
      <c r="K11" s="378"/>
      <c r="L11" s="484">
        <v>0</v>
      </c>
      <c r="M11" s="424">
        <f>558+3+1+4+38278+3856+160+5+8+10+439+2891+195+44+25+212+2+108+18+1+24</f>
        <v>46842</v>
      </c>
      <c r="N11" s="424">
        <f>558+3+1+351+38278+3856+160+5+8+10+439+2891+195+44+25+212+2+108+18+1+24</f>
        <v>47189</v>
      </c>
      <c r="O11" s="451">
        <f>(N11/M11)*100</f>
        <v>100.74078818154648</v>
      </c>
    </row>
    <row r="12" spans="1:15" ht="14.25" x14ac:dyDescent="0.2">
      <c r="A12" s="357" t="s">
        <v>103</v>
      </c>
      <c r="B12" s="424">
        <f>G12+L12</f>
        <v>7240</v>
      </c>
      <c r="C12" s="424">
        <f t="shared" ref="C12:D12" si="4">H12+M12</f>
        <v>7240</v>
      </c>
      <c r="D12" s="424">
        <f t="shared" si="4"/>
        <v>1514</v>
      </c>
      <c r="E12" s="451">
        <f t="shared" ref="E12:E15" si="5">(D12/C12)*100</f>
        <v>20.911602209944753</v>
      </c>
      <c r="F12" s="350"/>
      <c r="G12" s="370">
        <v>7240</v>
      </c>
      <c r="H12" s="324">
        <v>7240</v>
      </c>
      <c r="I12" s="324">
        <v>1514</v>
      </c>
      <c r="J12" s="432">
        <f t="shared" ref="J12:J16" si="6">(I12/H12)*100</f>
        <v>20.911602209944753</v>
      </c>
      <c r="K12" s="378"/>
      <c r="L12" s="370">
        <v>0</v>
      </c>
      <c r="M12" s="324">
        <v>0</v>
      </c>
      <c r="N12" s="324">
        <v>0</v>
      </c>
      <c r="O12" s="460">
        <v>0</v>
      </c>
    </row>
    <row r="13" spans="1:15" ht="14.25" x14ac:dyDescent="0.2">
      <c r="A13" s="357" t="s">
        <v>148</v>
      </c>
      <c r="B13" s="424">
        <f>G13+L13</f>
        <v>396578</v>
      </c>
      <c r="C13" s="424">
        <f>H13+M13</f>
        <v>15915727</v>
      </c>
      <c r="D13" s="424">
        <f>I13+N13</f>
        <v>13597191</v>
      </c>
      <c r="E13" s="451">
        <f t="shared" si="5"/>
        <v>85.432421654379979</v>
      </c>
      <c r="F13" s="350"/>
      <c r="G13" s="370">
        <f>G14+G15</f>
        <v>396578</v>
      </c>
      <c r="H13" s="324">
        <f>H14+H15</f>
        <v>736486</v>
      </c>
      <c r="I13" s="324">
        <f>I14+I15</f>
        <v>622823</v>
      </c>
      <c r="J13" s="432">
        <f t="shared" si="6"/>
        <v>84.566848521221033</v>
      </c>
      <c r="K13" s="378"/>
      <c r="L13" s="370">
        <f>L14+L15</f>
        <v>0</v>
      </c>
      <c r="M13" s="324">
        <f>M14+M15</f>
        <v>15179241</v>
      </c>
      <c r="N13" s="324">
        <f>N14+N15</f>
        <v>12974368</v>
      </c>
      <c r="O13" s="460">
        <f>(N13/M13)*100</f>
        <v>85.474418648468657</v>
      </c>
    </row>
    <row r="14" spans="1:15" s="423" customFormat="1" ht="14.25" x14ac:dyDescent="0.2">
      <c r="A14" s="338" t="s">
        <v>140</v>
      </c>
      <c r="B14" s="428">
        <f>G14+L14</f>
        <v>396578</v>
      </c>
      <c r="C14" s="428">
        <f t="shared" ref="C14:D15" si="7">H14+M14</f>
        <v>15201946</v>
      </c>
      <c r="D14" s="428">
        <f t="shared" si="7"/>
        <v>13065541</v>
      </c>
      <c r="E14" s="457">
        <f t="shared" si="5"/>
        <v>85.94650316479219</v>
      </c>
      <c r="F14" s="421"/>
      <c r="G14" s="458">
        <f>141578+130000+125000</f>
        <v>396578</v>
      </c>
      <c r="H14" s="459">
        <f>15+500+500+141578+500+919+253+422+771+33+563+146+826+133+3491+11384+9026+53935+3159+205+443+131856+127136+150+12664+1913+7421</f>
        <v>509942</v>
      </c>
      <c r="I14" s="459">
        <f>30+500+500+106183+500+919+253+422+771+596+146+826+133+3491+11384+10268+61121+3794+421+913+113277+56698+150+13649+1913+7421</f>
        <v>396279</v>
      </c>
      <c r="J14" s="433">
        <f t="shared" si="6"/>
        <v>77.710602382231713</v>
      </c>
      <c r="K14" s="422"/>
      <c r="L14" s="458">
        <v>0</v>
      </c>
      <c r="M14" s="459">
        <f>45013+29573+715+1944690+18500+260007+44+39+96+333+570500+986+898+144+888+6694+11753699+1490+96+1355+316+984+295+6329+31+62+3205+2637+32179+5307+3561+1338</f>
        <v>14692004</v>
      </c>
      <c r="N14" s="459">
        <f>49894+20000+390+1944690+18500+3800+195003+2143+88+39+96+195+333+570500+986+898+144+888+6694+9794793+1490+96+1355+316+984+295+6329+31+63+3206+2637+32179+5307+3562+1338</f>
        <v>12669262</v>
      </c>
      <c r="O14" s="461">
        <f>(N14/M14)*100</f>
        <v>86.232361494048064</v>
      </c>
    </row>
    <row r="15" spans="1:15" s="423" customFormat="1" ht="15" thickBot="1" x14ac:dyDescent="0.25">
      <c r="A15" s="361" t="s">
        <v>141</v>
      </c>
      <c r="B15" s="428">
        <f>G15+L15</f>
        <v>0</v>
      </c>
      <c r="C15" s="428">
        <f t="shared" si="7"/>
        <v>713781</v>
      </c>
      <c r="D15" s="428">
        <f t="shared" si="7"/>
        <v>531650</v>
      </c>
      <c r="E15" s="457">
        <f t="shared" si="5"/>
        <v>74.483630133052017</v>
      </c>
      <c r="F15" s="421"/>
      <c r="G15" s="434">
        <v>0</v>
      </c>
      <c r="H15" s="435">
        <f>95413+4905+5926+40667+49022+30611</f>
        <v>226544</v>
      </c>
      <c r="I15" s="435">
        <f>95413+4905+17459+40667+37489+30611</f>
        <v>226544</v>
      </c>
      <c r="J15" s="433">
        <f t="shared" si="6"/>
        <v>100</v>
      </c>
      <c r="K15" s="422"/>
      <c r="L15" s="434">
        <v>0</v>
      </c>
      <c r="M15" s="435">
        <f>408692+43+18+3662+11046+42125+462+7852+13337</f>
        <v>487237</v>
      </c>
      <c r="N15" s="435">
        <f>218104+43+18+3662+11046+50583+462+7852+13336</f>
        <v>305106</v>
      </c>
      <c r="O15" s="461">
        <f>(N15/M15)*100</f>
        <v>62.619628640682045</v>
      </c>
    </row>
    <row r="16" spans="1:15" ht="18.95" customHeight="1" thickTop="1" thickBot="1" x14ac:dyDescent="0.3">
      <c r="A16" s="425" t="s">
        <v>8</v>
      </c>
      <c r="B16" s="426">
        <f>B6+B11+B12+B13</f>
        <v>7859108</v>
      </c>
      <c r="C16" s="426">
        <f>C6+C11+C12+C13</f>
        <v>23765669</v>
      </c>
      <c r="D16" s="426">
        <f>D6+D11+D12+D13</f>
        <v>19834188</v>
      </c>
      <c r="E16" s="488">
        <f>(D16/C16)*100</f>
        <v>83.457309785809102</v>
      </c>
      <c r="F16" s="351"/>
      <c r="G16" s="343">
        <f>G6+G11+G12+G13</f>
        <v>7825108</v>
      </c>
      <c r="H16" s="343">
        <f>H6+H11+H12+H13</f>
        <v>8505586</v>
      </c>
      <c r="I16" s="343">
        <f>I6+I11+I12+I13</f>
        <v>6777457</v>
      </c>
      <c r="J16" s="485">
        <f t="shared" si="6"/>
        <v>79.682422821896097</v>
      </c>
      <c r="K16" s="351"/>
      <c r="L16" s="345">
        <f>L6+L11+L12+L13</f>
        <v>34000</v>
      </c>
      <c r="M16" s="345">
        <f t="shared" ref="M16:N16" si="8">M6+M11+M12+M13</f>
        <v>15260083</v>
      </c>
      <c r="N16" s="345">
        <f t="shared" si="8"/>
        <v>13056731</v>
      </c>
      <c r="O16" s="485">
        <f>(N16/M16)*100</f>
        <v>85.561336724053206</v>
      </c>
    </row>
    <row r="17" spans="1:15" ht="13.5" thickBot="1" x14ac:dyDescent="0.25">
      <c r="A17" s="384"/>
      <c r="B17" s="384"/>
      <c r="C17" s="385"/>
      <c r="D17" s="385"/>
      <c r="E17" s="384"/>
      <c r="F17" s="354"/>
      <c r="G17" s="372"/>
      <c r="H17" s="372"/>
      <c r="I17" s="372"/>
      <c r="J17" s="372"/>
      <c r="K17" s="13"/>
      <c r="L17" s="372"/>
      <c r="M17" s="372"/>
      <c r="N17" s="372"/>
      <c r="O17" s="372"/>
    </row>
    <row r="18" spans="1:15" ht="20.100000000000001" customHeight="1" x14ac:dyDescent="0.2">
      <c r="A18" s="367" t="s">
        <v>91</v>
      </c>
      <c r="B18" s="381" t="s">
        <v>11</v>
      </c>
      <c r="C18" s="381" t="s">
        <v>12</v>
      </c>
      <c r="D18" s="381" t="s">
        <v>4</v>
      </c>
      <c r="E18" s="382" t="s">
        <v>5</v>
      </c>
      <c r="F18" s="352"/>
      <c r="G18" s="383" t="s">
        <v>11</v>
      </c>
      <c r="H18" s="381" t="s">
        <v>12</v>
      </c>
      <c r="I18" s="381" t="s">
        <v>4</v>
      </c>
      <c r="J18" s="382" t="s">
        <v>5</v>
      </c>
      <c r="K18" s="352"/>
      <c r="L18" s="383" t="s">
        <v>11</v>
      </c>
      <c r="M18" s="381" t="s">
        <v>12</v>
      </c>
      <c r="N18" s="381" t="s">
        <v>4</v>
      </c>
      <c r="O18" s="382" t="s">
        <v>5</v>
      </c>
    </row>
    <row r="19" spans="1:15" ht="13.5" thickBot="1" x14ac:dyDescent="0.25">
      <c r="A19" s="368">
        <v>1</v>
      </c>
      <c r="B19" s="330">
        <v>2</v>
      </c>
      <c r="C19" s="330">
        <v>3</v>
      </c>
      <c r="D19" s="330">
        <v>4</v>
      </c>
      <c r="E19" s="366" t="s">
        <v>95</v>
      </c>
      <c r="F19" s="353"/>
      <c r="G19" s="377">
        <v>6</v>
      </c>
      <c r="H19" s="330">
        <v>7</v>
      </c>
      <c r="I19" s="330">
        <v>8</v>
      </c>
      <c r="J19" s="366" t="s">
        <v>136</v>
      </c>
      <c r="K19" s="353"/>
      <c r="L19" s="377">
        <v>10</v>
      </c>
      <c r="M19" s="330">
        <v>11</v>
      </c>
      <c r="N19" s="330">
        <v>12</v>
      </c>
      <c r="O19" s="366" t="s">
        <v>139</v>
      </c>
    </row>
    <row r="20" spans="1:15" s="335" customFormat="1" ht="15.75" thickTop="1" x14ac:dyDescent="0.25">
      <c r="A20" s="414" t="s">
        <v>112</v>
      </c>
      <c r="B20" s="331">
        <f>6377572-13236</f>
        <v>6364336</v>
      </c>
      <c r="C20" s="331">
        <f>21882891-13405</f>
        <v>21869486</v>
      </c>
      <c r="D20" s="331">
        <f>34700630-19098718</f>
        <v>15601912</v>
      </c>
      <c r="E20" s="508">
        <f t="shared" ref="E20:E26" si="9">(D20/C20)*100</f>
        <v>71.34100911196542</v>
      </c>
      <c r="F20" s="351"/>
      <c r="G20" s="331">
        <f>B20-L20</f>
        <v>6335919</v>
      </c>
      <c r="H20" s="331">
        <f>C20-M20</f>
        <v>7064632</v>
      </c>
      <c r="I20" s="331">
        <f>D20-N20</f>
        <v>4898556</v>
      </c>
      <c r="J20" s="508">
        <f t="shared" ref="J20:J27" si="10">(I20/H20)*100</f>
        <v>69.339153122200841</v>
      </c>
      <c r="K20" s="351"/>
      <c r="L20" s="401">
        <f>SUM(L21:L25)</f>
        <v>28417</v>
      </c>
      <c r="M20" s="331">
        <f t="shared" ref="M20:N20" si="11">SUM(M21:M25)</f>
        <v>14804854</v>
      </c>
      <c r="N20" s="331">
        <f t="shared" si="11"/>
        <v>10703356</v>
      </c>
      <c r="O20" s="508">
        <f>(N20/M20)*100</f>
        <v>72.296261753070993</v>
      </c>
    </row>
    <row r="21" spans="1:15" ht="14.25" x14ac:dyDescent="0.2">
      <c r="A21" s="338" t="s">
        <v>137</v>
      </c>
      <c r="B21" s="428">
        <f>G21+L21</f>
        <v>609261</v>
      </c>
      <c r="C21" s="428">
        <f>H21+M21</f>
        <v>939707</v>
      </c>
      <c r="D21" s="428">
        <f>I21+N21</f>
        <v>647011</v>
      </c>
      <c r="E21" s="509">
        <f t="shared" si="9"/>
        <v>68.852418892271743</v>
      </c>
      <c r="F21" s="510"/>
      <c r="G21" s="431">
        <v>595844</v>
      </c>
      <c r="H21" s="428">
        <v>918517</v>
      </c>
      <c r="I21" s="428">
        <v>638011</v>
      </c>
      <c r="J21" s="456">
        <f t="shared" si="10"/>
        <v>69.460989834700939</v>
      </c>
      <c r="K21" s="360"/>
      <c r="L21" s="431">
        <v>13417</v>
      </c>
      <c r="M21" s="428">
        <v>21190</v>
      </c>
      <c r="N21" s="428">
        <v>9000</v>
      </c>
      <c r="O21" s="456">
        <f>(N21/M21)*100</f>
        <v>42.472864558754132</v>
      </c>
    </row>
    <row r="22" spans="1:15" ht="14.25" x14ac:dyDescent="0.2">
      <c r="A22" s="338" t="s">
        <v>128</v>
      </c>
      <c r="B22" s="428">
        <f>G22+L22</f>
        <v>2412905</v>
      </c>
      <c r="C22" s="428">
        <f t="shared" ref="C22:D25" si="12">H22+M22</f>
        <v>2481937</v>
      </c>
      <c r="D22" s="428">
        <f t="shared" si="12"/>
        <v>1729053</v>
      </c>
      <c r="E22" s="509">
        <f t="shared" si="9"/>
        <v>69.665466931674729</v>
      </c>
      <c r="F22" s="510"/>
      <c r="G22" s="431">
        <v>2412905</v>
      </c>
      <c r="H22" s="428">
        <v>2481937</v>
      </c>
      <c r="I22" s="428">
        <v>1729053</v>
      </c>
      <c r="J22" s="456">
        <f t="shared" si="10"/>
        <v>69.665466931674729</v>
      </c>
      <c r="K22" s="360"/>
      <c r="L22" s="431">
        <v>0</v>
      </c>
      <c r="M22" s="428">
        <v>0</v>
      </c>
      <c r="N22" s="428">
        <v>0</v>
      </c>
      <c r="O22" s="456">
        <v>0</v>
      </c>
    </row>
    <row r="23" spans="1:15" ht="14.25" customHeight="1" x14ac:dyDescent="0.2">
      <c r="A23" s="339" t="s">
        <v>138</v>
      </c>
      <c r="B23" s="428">
        <f>G23+L23</f>
        <v>2027000</v>
      </c>
      <c r="C23" s="428">
        <f t="shared" si="12"/>
        <v>2163417</v>
      </c>
      <c r="D23" s="428">
        <f t="shared" si="12"/>
        <v>1969992</v>
      </c>
      <c r="E23" s="509">
        <f t="shared" si="9"/>
        <v>91.059282607097941</v>
      </c>
      <c r="F23" s="510"/>
      <c r="G23" s="431">
        <v>2027000</v>
      </c>
      <c r="H23" s="428">
        <v>2163417</v>
      </c>
      <c r="I23" s="428">
        <v>1969992</v>
      </c>
      <c r="J23" s="456">
        <f t="shared" si="10"/>
        <v>91.059282607097941</v>
      </c>
      <c r="K23" s="360"/>
      <c r="L23" s="431">
        <v>0</v>
      </c>
      <c r="M23" s="428">
        <v>0</v>
      </c>
      <c r="N23" s="428">
        <v>0</v>
      </c>
      <c r="O23" s="456">
        <v>0</v>
      </c>
    </row>
    <row r="24" spans="1:15" ht="14.25" x14ac:dyDescent="0.2">
      <c r="A24" s="338" t="s">
        <v>145</v>
      </c>
      <c r="B24" s="428">
        <f>G24+L24</f>
        <v>465032</v>
      </c>
      <c r="C24" s="428">
        <f t="shared" si="12"/>
        <v>495339</v>
      </c>
      <c r="D24" s="428">
        <f t="shared" si="12"/>
        <v>296287</v>
      </c>
      <c r="E24" s="509">
        <f t="shared" si="9"/>
        <v>59.814995386997595</v>
      </c>
      <c r="F24" s="510"/>
      <c r="G24" s="431">
        <f>451010+14022</f>
        <v>465032</v>
      </c>
      <c r="H24" s="428">
        <f>467222+6318</f>
        <v>473540</v>
      </c>
      <c r="I24" s="428">
        <f>287225+1710</f>
        <v>288935</v>
      </c>
      <c r="J24" s="456">
        <f t="shared" si="10"/>
        <v>61.015964860413064</v>
      </c>
      <c r="K24" s="360"/>
      <c r="L24" s="431">
        <v>0</v>
      </c>
      <c r="M24" s="428">
        <f>28117-6318</f>
        <v>21799</v>
      </c>
      <c r="N24" s="428">
        <f>9062-1710</f>
        <v>7352</v>
      </c>
      <c r="O24" s="456">
        <f>(N24/M24)*100</f>
        <v>33.726317720996377</v>
      </c>
    </row>
    <row r="25" spans="1:15" ht="14.25" x14ac:dyDescent="0.2">
      <c r="A25" s="338" t="s">
        <v>149</v>
      </c>
      <c r="B25" s="428">
        <f>G25+L25</f>
        <v>850138</v>
      </c>
      <c r="C25" s="428">
        <f t="shared" si="12"/>
        <v>15789086</v>
      </c>
      <c r="D25" s="428">
        <f t="shared" si="12"/>
        <v>10959569</v>
      </c>
      <c r="E25" s="509">
        <f t="shared" si="9"/>
        <v>69.412307970201695</v>
      </c>
      <c r="F25" s="510"/>
      <c r="G25" s="428">
        <f>G20-G21-G22-G23-G24</f>
        <v>835138</v>
      </c>
      <c r="H25" s="428">
        <f>H20-H21-H22-H23-H24</f>
        <v>1027221</v>
      </c>
      <c r="I25" s="428">
        <f>I20-I21-I22-I23-I24</f>
        <v>272565</v>
      </c>
      <c r="J25" s="456">
        <f t="shared" si="10"/>
        <v>26.53421220944665</v>
      </c>
      <c r="K25" s="360"/>
      <c r="L25" s="431">
        <v>15000</v>
      </c>
      <c r="M25" s="428">
        <f>14709329+52536</f>
        <v>14761865</v>
      </c>
      <c r="N25" s="428">
        <f>10636219+50785</f>
        <v>10687004</v>
      </c>
      <c r="O25" s="456">
        <f>(N25/M25)*100</f>
        <v>72.39602855059303</v>
      </c>
    </row>
    <row r="26" spans="1:15" s="335" customFormat="1" ht="21.75" customHeight="1" thickBot="1" x14ac:dyDescent="0.3">
      <c r="A26" s="415" t="s">
        <v>113</v>
      </c>
      <c r="B26" s="454">
        <v>2100098</v>
      </c>
      <c r="C26" s="454">
        <v>3543871</v>
      </c>
      <c r="D26" s="454">
        <v>1423515</v>
      </c>
      <c r="E26" s="476">
        <f t="shared" si="9"/>
        <v>40.168363916180923</v>
      </c>
      <c r="F26" s="351"/>
      <c r="G26" s="371">
        <f>B26-L26</f>
        <v>2065798</v>
      </c>
      <c r="H26" s="387">
        <f>C26-M26</f>
        <v>2921123</v>
      </c>
      <c r="I26" s="387">
        <f>D26-N26</f>
        <v>1076356</v>
      </c>
      <c r="J26" s="476">
        <f t="shared" si="10"/>
        <v>36.847335767785196</v>
      </c>
      <c r="K26" s="351"/>
      <c r="L26" s="477">
        <v>34300</v>
      </c>
      <c r="M26" s="454">
        <f>165+462+7852+408527+763+12973+10993+3662+64174+51811+61366</f>
        <v>622748</v>
      </c>
      <c r="N26" s="454">
        <f>165+462+7852+217939+763+12973+10993+3662+28824+22443+41083</f>
        <v>347159</v>
      </c>
      <c r="O26" s="476">
        <f>(N26/M26)*100</f>
        <v>55.746305086487638</v>
      </c>
    </row>
    <row r="27" spans="1:15" ht="16.5" thickTop="1" thickBot="1" x14ac:dyDescent="0.25">
      <c r="A27" s="340" t="s">
        <v>134</v>
      </c>
      <c r="B27" s="341">
        <f>B26+B20</f>
        <v>8464434</v>
      </c>
      <c r="C27" s="341">
        <f>C26+C20</f>
        <v>25413357</v>
      </c>
      <c r="D27" s="341">
        <f>D26+D20</f>
        <v>17025427</v>
      </c>
      <c r="E27" s="355">
        <f>(D27/C27)*100</f>
        <v>66.994010275777413</v>
      </c>
      <c r="F27" s="347"/>
      <c r="G27" s="393">
        <f>G26+G20</f>
        <v>8401717</v>
      </c>
      <c r="H27" s="394">
        <f>H26+H20</f>
        <v>9985755</v>
      </c>
      <c r="I27" s="394">
        <f>I26+I20</f>
        <v>5974912</v>
      </c>
      <c r="J27" s="395">
        <f t="shared" si="10"/>
        <v>59.834354037326179</v>
      </c>
      <c r="K27" s="347"/>
      <c r="L27" s="418">
        <f>L26+L20</f>
        <v>62717</v>
      </c>
      <c r="M27" s="341">
        <f>M26+M20</f>
        <v>15427602</v>
      </c>
      <c r="N27" s="341">
        <f>N26+N20</f>
        <v>11050515</v>
      </c>
      <c r="O27" s="355">
        <f>(N27/M27)*100</f>
        <v>71.628208972463767</v>
      </c>
    </row>
    <row r="28" spans="1:15" ht="13.5" thickBot="1" x14ac:dyDescent="0.25">
      <c r="A28" s="372"/>
      <c r="B28" s="372"/>
      <c r="C28" s="392"/>
      <c r="D28" s="392"/>
      <c r="E28" s="372"/>
      <c r="F28" s="13"/>
      <c r="G28" s="372"/>
      <c r="H28" s="392"/>
      <c r="I28" s="392"/>
      <c r="J28" s="372"/>
      <c r="K28" s="13"/>
      <c r="L28" s="372"/>
      <c r="M28" s="392"/>
      <c r="N28" s="392"/>
      <c r="O28" s="372"/>
    </row>
    <row r="29" spans="1:15" ht="15.75" thickBot="1" x14ac:dyDescent="0.25">
      <c r="A29" s="389" t="s">
        <v>142</v>
      </c>
      <c r="B29" s="390">
        <f>B27-B16</f>
        <v>605326</v>
      </c>
      <c r="C29" s="390">
        <f>C27-C16</f>
        <v>1647688</v>
      </c>
      <c r="D29" s="390">
        <f>D27-D16</f>
        <v>-2808761</v>
      </c>
      <c r="E29" s="391"/>
      <c r="F29" s="347"/>
      <c r="G29" s="396">
        <f>G27-G16</f>
        <v>576609</v>
      </c>
      <c r="H29" s="390">
        <f>H27-H16</f>
        <v>1480169</v>
      </c>
      <c r="I29" s="390">
        <f>I27-I16</f>
        <v>-802545</v>
      </c>
      <c r="J29" s="391"/>
      <c r="K29" s="347"/>
      <c r="L29" s="397">
        <f>L27-L16</f>
        <v>28717</v>
      </c>
      <c r="M29" s="398">
        <f>M27-M16</f>
        <v>167519</v>
      </c>
      <c r="N29" s="398">
        <f>N27-N16</f>
        <v>-2006216</v>
      </c>
      <c r="O29" s="399"/>
    </row>
    <row r="31" spans="1:15" ht="20.25" x14ac:dyDescent="0.3">
      <c r="A31" s="336" t="s">
        <v>160</v>
      </c>
      <c r="B31" s="336"/>
      <c r="C31" s="336"/>
      <c r="D31" s="336"/>
      <c r="E31" s="336"/>
      <c r="F31" s="336"/>
    </row>
    <row r="32" spans="1:15" ht="15" thickBot="1" x14ac:dyDescent="0.25">
      <c r="A32" s="517"/>
      <c r="B32" s="517"/>
      <c r="C32" s="517"/>
      <c r="D32" s="517"/>
      <c r="E32" s="517"/>
      <c r="F32" s="332"/>
      <c r="N32" s="2" t="s">
        <v>0</v>
      </c>
    </row>
    <row r="33" spans="1:14" ht="17.100000000000001" customHeight="1" thickBot="1" x14ac:dyDescent="0.25">
      <c r="B33" s="511" t="s">
        <v>130</v>
      </c>
      <c r="C33" s="512"/>
      <c r="D33" s="513"/>
      <c r="G33" s="511" t="s">
        <v>131</v>
      </c>
      <c r="H33" s="512"/>
      <c r="I33" s="513"/>
      <c r="L33" s="511" t="s">
        <v>132</v>
      </c>
      <c r="M33" s="512"/>
      <c r="N33" s="513"/>
    </row>
    <row r="34" spans="1:14" ht="20.100000000000001" customHeight="1" thickBot="1" x14ac:dyDescent="0.25">
      <c r="A34" s="367" t="s">
        <v>1</v>
      </c>
      <c r="B34" s="403" t="s">
        <v>159</v>
      </c>
      <c r="C34" s="403" t="s">
        <v>158</v>
      </c>
      <c r="D34" s="404" t="s">
        <v>133</v>
      </c>
      <c r="G34" s="402" t="s">
        <v>159</v>
      </c>
      <c r="H34" s="403" t="s">
        <v>158</v>
      </c>
      <c r="I34" s="404" t="s">
        <v>133</v>
      </c>
      <c r="L34" s="402" t="s">
        <v>159</v>
      </c>
      <c r="M34" s="403" t="s">
        <v>158</v>
      </c>
      <c r="N34" s="404" t="s">
        <v>133</v>
      </c>
    </row>
    <row r="35" spans="1:14" ht="15" thickTop="1" x14ac:dyDescent="0.2">
      <c r="A35" s="400" t="s">
        <v>101</v>
      </c>
      <c r="B35" s="322">
        <v>5475354</v>
      </c>
      <c r="C35" s="321">
        <f>D6</f>
        <v>5498090</v>
      </c>
      <c r="D35" s="356">
        <f t="shared" ref="D35:D41" si="13">(C35/B35)*100</f>
        <v>100.41524255783278</v>
      </c>
      <c r="G35" s="401">
        <v>5439061</v>
      </c>
      <c r="H35" s="331">
        <f>I6</f>
        <v>5462916</v>
      </c>
      <c r="I35" s="362">
        <f t="shared" ref="I35:I41" si="14">(H35/G35)*100</f>
        <v>100.43858673399693</v>
      </c>
      <c r="L35" s="376">
        <v>36293</v>
      </c>
      <c r="M35" s="321">
        <f>N6</f>
        <v>35174</v>
      </c>
      <c r="N35" s="356">
        <f>(M35/L35)*100</f>
        <v>96.916760807869281</v>
      </c>
    </row>
    <row r="36" spans="1:14" ht="14.25" x14ac:dyDescent="0.2">
      <c r="A36" s="357" t="s">
        <v>102</v>
      </c>
      <c r="B36" s="323">
        <v>502202</v>
      </c>
      <c r="C36" s="324">
        <f>D11</f>
        <v>737393</v>
      </c>
      <c r="D36" s="358">
        <f t="shared" si="13"/>
        <v>146.83195208302635</v>
      </c>
      <c r="G36" s="370">
        <v>479605</v>
      </c>
      <c r="H36" s="324">
        <f>I11</f>
        <v>690204</v>
      </c>
      <c r="I36" s="358">
        <f t="shared" si="14"/>
        <v>143.91092670009695</v>
      </c>
      <c r="L36" s="370">
        <v>22597</v>
      </c>
      <c r="M36" s="324">
        <f>N11</f>
        <v>47189</v>
      </c>
      <c r="N36" s="358">
        <f t="shared" ref="N36" si="15">(M36/L36)*100</f>
        <v>208.82860556711069</v>
      </c>
    </row>
    <row r="37" spans="1:14" ht="14.25" x14ac:dyDescent="0.2">
      <c r="A37" s="359" t="s">
        <v>103</v>
      </c>
      <c r="B37" s="323">
        <v>1178</v>
      </c>
      <c r="C37" s="324">
        <f>D12</f>
        <v>1514</v>
      </c>
      <c r="D37" s="358">
        <f t="shared" si="13"/>
        <v>128.52292020373514</v>
      </c>
      <c r="G37" s="370">
        <v>1178</v>
      </c>
      <c r="H37" s="324">
        <f>I12</f>
        <v>1514</v>
      </c>
      <c r="I37" s="358">
        <f t="shared" si="14"/>
        <v>128.52292020373514</v>
      </c>
      <c r="L37" s="370">
        <v>0</v>
      </c>
      <c r="M37" s="324">
        <f>N12</f>
        <v>0</v>
      </c>
      <c r="N37" s="358">
        <v>0</v>
      </c>
    </row>
    <row r="38" spans="1:14" ht="14.25" x14ac:dyDescent="0.2">
      <c r="A38" s="357" t="s">
        <v>104</v>
      </c>
      <c r="B38" s="323">
        <v>13783686</v>
      </c>
      <c r="C38" s="324">
        <f>D13</f>
        <v>13597191</v>
      </c>
      <c r="D38" s="358">
        <f t="shared" si="13"/>
        <v>98.646987460393404</v>
      </c>
      <c r="G38" s="370">
        <v>646068</v>
      </c>
      <c r="H38" s="324">
        <f>I13</f>
        <v>622823</v>
      </c>
      <c r="I38" s="358">
        <f t="shared" si="14"/>
        <v>96.40208151463932</v>
      </c>
      <c r="L38" s="370">
        <v>13137618</v>
      </c>
      <c r="M38" s="324">
        <f>N13</f>
        <v>12974368</v>
      </c>
      <c r="N38" s="358">
        <f t="shared" ref="N38:N40" si="16">(M38/L38)*100</f>
        <v>98.757385090661032</v>
      </c>
    </row>
    <row r="39" spans="1:14" ht="14.25" x14ac:dyDescent="0.2">
      <c r="A39" s="338" t="s">
        <v>140</v>
      </c>
      <c r="B39" s="428">
        <v>13099222</v>
      </c>
      <c r="C39" s="428">
        <f>D14</f>
        <v>13065541</v>
      </c>
      <c r="D39" s="379">
        <f t="shared" si="13"/>
        <v>99.742877859463718</v>
      </c>
      <c r="G39" s="431">
        <v>387483</v>
      </c>
      <c r="H39" s="428">
        <f>I14</f>
        <v>396279</v>
      </c>
      <c r="I39" s="379">
        <f t="shared" si="14"/>
        <v>102.2700350725064</v>
      </c>
      <c r="L39" s="431">
        <v>12711739</v>
      </c>
      <c r="M39" s="428">
        <f>N14</f>
        <v>12669262</v>
      </c>
      <c r="N39" s="379">
        <f t="shared" si="16"/>
        <v>99.665844303442668</v>
      </c>
    </row>
    <row r="40" spans="1:14" ht="15" thickBot="1" x14ac:dyDescent="0.25">
      <c r="A40" s="361" t="s">
        <v>141</v>
      </c>
      <c r="B40" s="437">
        <v>684464</v>
      </c>
      <c r="C40" s="437">
        <f>D15</f>
        <v>531650</v>
      </c>
      <c r="D40" s="438">
        <f t="shared" si="13"/>
        <v>77.673917108861829</v>
      </c>
      <c r="G40" s="439">
        <v>258585</v>
      </c>
      <c r="H40" s="437">
        <f>I15</f>
        <v>226544</v>
      </c>
      <c r="I40" s="438">
        <f t="shared" si="14"/>
        <v>87.609103389601088</v>
      </c>
      <c r="L40" s="439">
        <v>425879</v>
      </c>
      <c r="M40" s="437">
        <f>N15</f>
        <v>305106</v>
      </c>
      <c r="N40" s="438">
        <f t="shared" si="16"/>
        <v>71.641475630402056</v>
      </c>
    </row>
    <row r="41" spans="1:14" ht="17.25" thickTop="1" thickBot="1" x14ac:dyDescent="0.3">
      <c r="A41" s="417" t="s">
        <v>8</v>
      </c>
      <c r="B41" s="337">
        <f>SUM(B35:B38)</f>
        <v>19762420</v>
      </c>
      <c r="C41" s="452">
        <f>SUM(C35:C38)</f>
        <v>19834188</v>
      </c>
      <c r="D41" s="436">
        <f t="shared" si="13"/>
        <v>100.36315390524035</v>
      </c>
      <c r="G41" s="405">
        <f>SUM(G35:G38)</f>
        <v>6565912</v>
      </c>
      <c r="H41" s="343">
        <f>SUM(H35:H38)</f>
        <v>6777457</v>
      </c>
      <c r="I41" s="344">
        <f t="shared" si="14"/>
        <v>103.22186773139816</v>
      </c>
      <c r="L41" s="405">
        <f>SUM(L35:L38)</f>
        <v>13196508</v>
      </c>
      <c r="M41" s="343">
        <f>SUM(M35:M38)</f>
        <v>13056731</v>
      </c>
      <c r="N41" s="344">
        <f t="shared" ref="N41" si="17">(M41/L41)*100</f>
        <v>98.940803127615268</v>
      </c>
    </row>
    <row r="42" spans="1:14" ht="13.5" thickBot="1" x14ac:dyDescent="0.25">
      <c r="A42" s="222"/>
      <c r="B42" s="223"/>
      <c r="C42" s="223"/>
      <c r="D42" s="222"/>
      <c r="G42" s="13"/>
    </row>
    <row r="43" spans="1:14" ht="20.100000000000001" customHeight="1" thickBot="1" x14ac:dyDescent="0.25">
      <c r="A43" s="367" t="s">
        <v>91</v>
      </c>
      <c r="B43" s="406" t="s">
        <v>159</v>
      </c>
      <c r="C43" s="406" t="s">
        <v>158</v>
      </c>
      <c r="D43" s="407" t="s">
        <v>133</v>
      </c>
      <c r="G43" s="409" t="s">
        <v>159</v>
      </c>
      <c r="H43" s="406" t="s">
        <v>158</v>
      </c>
      <c r="I43" s="407" t="s">
        <v>133</v>
      </c>
      <c r="L43" s="409" t="s">
        <v>159</v>
      </c>
      <c r="M43" s="406" t="s">
        <v>158</v>
      </c>
      <c r="N43" s="407" t="s">
        <v>133</v>
      </c>
    </row>
    <row r="44" spans="1:14" s="335" customFormat="1" ht="15" thickTop="1" x14ac:dyDescent="0.2">
      <c r="A44" s="414" t="s">
        <v>112</v>
      </c>
      <c r="B44" s="411">
        <v>15215746</v>
      </c>
      <c r="C44" s="453">
        <f>D20</f>
        <v>15601912</v>
      </c>
      <c r="D44" s="412">
        <f>C44/B44*100</f>
        <v>102.53793668742892</v>
      </c>
      <c r="G44" s="376">
        <v>4520556</v>
      </c>
      <c r="H44" s="321">
        <f>I20</f>
        <v>4898556</v>
      </c>
      <c r="I44" s="412">
        <f>H44/G44*100</f>
        <v>108.36180328260505</v>
      </c>
      <c r="L44" s="416">
        <v>10695190</v>
      </c>
      <c r="M44" s="453">
        <f t="shared" ref="M44:M50" si="18">N20</f>
        <v>10703356</v>
      </c>
      <c r="N44" s="412">
        <f>M44/L44*100</f>
        <v>100.07635207976671</v>
      </c>
    </row>
    <row r="45" spans="1:14" ht="14.25" x14ac:dyDescent="0.2">
      <c r="A45" s="338" t="s">
        <v>137</v>
      </c>
      <c r="B45" s="428">
        <v>283886</v>
      </c>
      <c r="C45" s="428">
        <f>H45+M45</f>
        <v>647011</v>
      </c>
      <c r="D45" s="379">
        <f>(C45/B45)*100</f>
        <v>227.91226055529333</v>
      </c>
      <c r="G45" s="431">
        <v>275809</v>
      </c>
      <c r="H45" s="428">
        <f>I21</f>
        <v>638011</v>
      </c>
      <c r="I45" s="379">
        <f>(H45/G45)*100</f>
        <v>231.32348835607252</v>
      </c>
      <c r="L45" s="431">
        <v>8077</v>
      </c>
      <c r="M45" s="428">
        <f t="shared" si="18"/>
        <v>9000</v>
      </c>
      <c r="N45" s="380">
        <f>(M45/L45)*100</f>
        <v>111.42751021418844</v>
      </c>
    </row>
    <row r="46" spans="1:14" ht="14.25" x14ac:dyDescent="0.2">
      <c r="A46" s="338" t="s">
        <v>128</v>
      </c>
      <c r="B46" s="428">
        <v>1742498</v>
      </c>
      <c r="C46" s="428">
        <f>H46+M46</f>
        <v>1729053</v>
      </c>
      <c r="D46" s="379">
        <f>(C46/B46)*100</f>
        <v>99.228406574928641</v>
      </c>
      <c r="G46" s="431">
        <v>1742498</v>
      </c>
      <c r="H46" s="428">
        <f t="shared" ref="H46:H49" si="19">I22</f>
        <v>1729053</v>
      </c>
      <c r="I46" s="379">
        <f>(H46/G46)*100</f>
        <v>99.228406574928641</v>
      </c>
      <c r="L46" s="431">
        <v>0</v>
      </c>
      <c r="M46" s="428">
        <f t="shared" si="18"/>
        <v>0</v>
      </c>
      <c r="N46" s="380">
        <v>0</v>
      </c>
    </row>
    <row r="47" spans="1:14" ht="14.25" x14ac:dyDescent="0.2">
      <c r="A47" s="339" t="s">
        <v>138</v>
      </c>
      <c r="B47" s="428">
        <v>1703627</v>
      </c>
      <c r="C47" s="428">
        <f>H47+M47</f>
        <v>1969992</v>
      </c>
      <c r="D47" s="379">
        <f>(C47/B47)*100</f>
        <v>115.6351713139085</v>
      </c>
      <c r="G47" s="431">
        <v>1703627</v>
      </c>
      <c r="H47" s="428">
        <f t="shared" si="19"/>
        <v>1969992</v>
      </c>
      <c r="I47" s="379">
        <f>(H47/G47)*100</f>
        <v>115.6351713139085</v>
      </c>
      <c r="L47" s="431">
        <v>0</v>
      </c>
      <c r="M47" s="428">
        <f t="shared" si="18"/>
        <v>0</v>
      </c>
      <c r="N47" s="380">
        <v>0</v>
      </c>
    </row>
    <row r="48" spans="1:14" ht="14.25" x14ac:dyDescent="0.2">
      <c r="A48" s="338" t="s">
        <v>145</v>
      </c>
      <c r="B48" s="428">
        <v>277962</v>
      </c>
      <c r="C48" s="428">
        <f>H48+M48</f>
        <v>296287</v>
      </c>
      <c r="D48" s="379">
        <f>(C48/B48)*100</f>
        <v>106.59262776926342</v>
      </c>
      <c r="G48" s="431">
        <v>269946</v>
      </c>
      <c r="H48" s="428">
        <f>I24</f>
        <v>288935</v>
      </c>
      <c r="I48" s="379">
        <f>(H48/G48)*100</f>
        <v>107.03436983693035</v>
      </c>
      <c r="L48" s="431">
        <v>8016</v>
      </c>
      <c r="M48" s="428">
        <f t="shared" si="18"/>
        <v>7352</v>
      </c>
      <c r="N48" s="380">
        <f>(M48/L48)*100</f>
        <v>91.71656686626747</v>
      </c>
    </row>
    <row r="49" spans="1:14" ht="14.25" x14ac:dyDescent="0.2">
      <c r="A49" s="338" t="s">
        <v>149</v>
      </c>
      <c r="B49" s="428">
        <v>11207773</v>
      </c>
      <c r="C49" s="428">
        <f>H49+M49</f>
        <v>10959569</v>
      </c>
      <c r="D49" s="379">
        <f>(C49/B49)*100</f>
        <v>97.78542980840173</v>
      </c>
      <c r="G49" s="431">
        <v>528676</v>
      </c>
      <c r="H49" s="428">
        <f t="shared" si="19"/>
        <v>272565</v>
      </c>
      <c r="I49" s="379">
        <f>(H49/G49)*100</f>
        <v>51.556151593792798</v>
      </c>
      <c r="L49" s="431">
        <v>10679097</v>
      </c>
      <c r="M49" s="428">
        <f t="shared" si="18"/>
        <v>10687004</v>
      </c>
      <c r="N49" s="380">
        <f>(M49/L49)*100</f>
        <v>100.07404184080357</v>
      </c>
    </row>
    <row r="50" spans="1:14" s="335" customFormat="1" ht="15" thickBot="1" x14ac:dyDescent="0.25">
      <c r="A50" s="415" t="s">
        <v>113</v>
      </c>
      <c r="B50" s="386">
        <v>1280973</v>
      </c>
      <c r="C50" s="454">
        <f>D26</f>
        <v>1423515</v>
      </c>
      <c r="D50" s="413">
        <f>C50/B50*100</f>
        <v>111.12763500870042</v>
      </c>
      <c r="G50" s="371">
        <v>972469</v>
      </c>
      <c r="H50" s="387">
        <f t="shared" ref="H50" si="20">I26</f>
        <v>1076356</v>
      </c>
      <c r="I50" s="413">
        <f>H50/G50*100</f>
        <v>110.68280839800548</v>
      </c>
      <c r="L50" s="388">
        <v>308504</v>
      </c>
      <c r="M50" s="454">
        <f t="shared" si="18"/>
        <v>347159</v>
      </c>
      <c r="N50" s="413">
        <f>M50/L50*100</f>
        <v>112.52982133132797</v>
      </c>
    </row>
    <row r="51" spans="1:14" ht="16.5" thickTop="1" thickBot="1" x14ac:dyDescent="0.25">
      <c r="A51" s="389" t="s">
        <v>135</v>
      </c>
      <c r="B51" s="408">
        <f t="shared" ref="B51" si="21">B50+B44</f>
        <v>16496719</v>
      </c>
      <c r="C51" s="455">
        <f t="shared" ref="C51" si="22">C50+C44</f>
        <v>17025427</v>
      </c>
      <c r="D51" s="391">
        <f>C51/B51*100</f>
        <v>103.20492820420837</v>
      </c>
      <c r="G51" s="410">
        <f t="shared" ref="G51" si="23">G50+G44</f>
        <v>5493025</v>
      </c>
      <c r="H51" s="455">
        <f t="shared" ref="H51" si="24">H50+H44</f>
        <v>5974912</v>
      </c>
      <c r="I51" s="391">
        <f>H51/G51*100</f>
        <v>108.77270720595664</v>
      </c>
      <c r="L51" s="410">
        <f t="shared" ref="L51" si="25">L50+L44</f>
        <v>11003694</v>
      </c>
      <c r="M51" s="455">
        <f t="shared" ref="M51" si="26">M50+M44</f>
        <v>11050515</v>
      </c>
      <c r="N51" s="391">
        <f>M51/L51*100</f>
        <v>100.42550256304837</v>
      </c>
    </row>
    <row r="52" spans="1:14" ht="13.5" thickBot="1" x14ac:dyDescent="0.25">
      <c r="B52" s="166"/>
      <c r="D52" s="1"/>
      <c r="G52" s="166"/>
      <c r="H52" s="166"/>
      <c r="L52" s="166"/>
      <c r="M52" s="166"/>
    </row>
    <row r="53" spans="1:14" ht="15.75" thickBot="1" x14ac:dyDescent="0.25">
      <c r="A53" s="419" t="s">
        <v>142</v>
      </c>
      <c r="B53" s="398">
        <f>B51-B41</f>
        <v>-3265701</v>
      </c>
      <c r="C53" s="398">
        <f>C51-C41</f>
        <v>-2808761</v>
      </c>
      <c r="D53" s="420"/>
      <c r="E53" s="342"/>
      <c r="F53" s="342"/>
      <c r="G53" s="397">
        <f>G51-G41</f>
        <v>-1072887</v>
      </c>
      <c r="H53" s="398">
        <f>H51-H41</f>
        <v>-802545</v>
      </c>
      <c r="I53" s="420"/>
      <c r="J53" s="342"/>
      <c r="K53" s="342"/>
      <c r="L53" s="397">
        <f>L51-L41</f>
        <v>-2192814</v>
      </c>
      <c r="M53" s="398">
        <f>M51-M41</f>
        <v>-2006216</v>
      </c>
      <c r="N53" s="420"/>
    </row>
    <row r="54" spans="1:14" x14ac:dyDescent="0.2">
      <c r="B54" s="166"/>
      <c r="D54" s="1"/>
    </row>
    <row r="55" spans="1:14" x14ac:dyDescent="0.2">
      <c r="B55" s="166"/>
      <c r="D55" s="1"/>
    </row>
    <row r="56" spans="1:14" x14ac:dyDescent="0.2">
      <c r="B56" s="166"/>
      <c r="D56" s="1"/>
    </row>
    <row r="57" spans="1:14" x14ac:dyDescent="0.2">
      <c r="B57" s="166"/>
      <c r="D57" s="1"/>
    </row>
    <row r="58" spans="1:14" x14ac:dyDescent="0.2">
      <c r="B58" s="166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3" orientation="landscape" cellComments="asDisplayed" useFirstPageNumber="1" r:id="rId1"/>
  <headerFooter alignWithMargins="0">
    <oddFooter xml:space="preserve">&amp;L&amp;"Arial CE,Kurzíva"Zastupitelstvo Olomouckého kraje 16. 12. 2024
9.2. - Rozpočet Olomouckého kraje 2024 - plnění rozpočtu k 30. 9. 2024
Příloha č. 1 - Bilance Olomouckého kraje k 30. 9. 2024&amp;R&amp;"Arial CE,Kurzíva"Strana &amp;P (Celkem 9)
</oddFooter>
  </headerFooter>
  <rowBreaks count="1" manualBreakCount="1">
    <brk id="53" max="14" man="1"/>
  </rowBreaks>
  <colBreaks count="1" manualBreakCount="1">
    <brk id="19" max="29" man="1"/>
  </colBreaks>
  <ignoredErrors>
    <ignoredError sqref="B41 L4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G27"/>
  <sheetViews>
    <sheetView showGridLines="0" view="pageBreakPreview" zoomScale="110" zoomScaleNormal="100" zoomScaleSheetLayoutView="110" workbookViewId="0">
      <selection activeCell="C15" sqref="C15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22" t="s">
        <v>153</v>
      </c>
      <c r="B1" s="522"/>
      <c r="C1" s="522"/>
      <c r="D1" s="522"/>
      <c r="E1" s="522"/>
    </row>
    <row r="3" spans="1:7" x14ac:dyDescent="0.2">
      <c r="A3" s="517" t="s">
        <v>94</v>
      </c>
      <c r="B3" s="517"/>
      <c r="C3" s="517"/>
      <c r="D3" s="517"/>
      <c r="E3" s="517"/>
    </row>
    <row r="4" spans="1:7" ht="30.75" customHeight="1" x14ac:dyDescent="0.2">
      <c r="A4" s="517"/>
      <c r="B4" s="517"/>
      <c r="C4" s="517"/>
      <c r="D4" s="517"/>
      <c r="E4" s="517"/>
    </row>
    <row r="6" spans="1:7" ht="13.5" thickBot="1" x14ac:dyDescent="0.25">
      <c r="B6" s="9"/>
      <c r="C6" s="171"/>
      <c r="D6" s="167"/>
      <c r="E6" s="2" t="s">
        <v>0</v>
      </c>
    </row>
    <row r="7" spans="1:7" s="10" customFormat="1" ht="18.75" customHeight="1" thickTop="1" thickBot="1" x14ac:dyDescent="0.25">
      <c r="A7" s="257" t="s">
        <v>1</v>
      </c>
      <c r="B7" s="258" t="s">
        <v>11</v>
      </c>
      <c r="C7" s="258" t="s">
        <v>12</v>
      </c>
      <c r="D7" s="258" t="s">
        <v>4</v>
      </c>
      <c r="E7" s="259" t="s">
        <v>5</v>
      </c>
    </row>
    <row r="8" spans="1:7" s="4" customFormat="1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61" t="s">
        <v>95</v>
      </c>
    </row>
    <row r="9" spans="1:7" ht="18.95" customHeight="1" thickTop="1" x14ac:dyDescent="0.2">
      <c r="A9" s="220" t="s">
        <v>101</v>
      </c>
      <c r="B9" s="224">
        <v>7135330</v>
      </c>
      <c r="C9" s="229">
        <v>7175908</v>
      </c>
      <c r="D9" s="229">
        <v>5498090</v>
      </c>
      <c r="E9" s="464">
        <f>(D9/C9)*100</f>
        <v>76.618735914674502</v>
      </c>
    </row>
    <row r="10" spans="1:7" ht="18.95" customHeight="1" x14ac:dyDescent="0.2">
      <c r="A10" s="220" t="s">
        <v>102</v>
      </c>
      <c r="B10" s="225">
        <v>319960</v>
      </c>
      <c r="C10" s="229">
        <v>666794</v>
      </c>
      <c r="D10" s="229">
        <v>737393</v>
      </c>
      <c r="E10" s="465">
        <f t="shared" ref="E10:E14" si="0">(D10/C10)*100</f>
        <v>110.58782772490454</v>
      </c>
    </row>
    <row r="11" spans="1:7" ht="18.95" customHeight="1" x14ac:dyDescent="0.2">
      <c r="A11" s="289" t="s">
        <v>103</v>
      </c>
      <c r="B11" s="225">
        <v>7240</v>
      </c>
      <c r="C11" s="229">
        <v>7240</v>
      </c>
      <c r="D11" s="229">
        <v>1514</v>
      </c>
      <c r="E11" s="465">
        <f>(D11/C11)*100</f>
        <v>20.911602209944753</v>
      </c>
    </row>
    <row r="12" spans="1:7" ht="18.95" customHeight="1" x14ac:dyDescent="0.2">
      <c r="A12" s="221" t="s">
        <v>104</v>
      </c>
      <c r="B12" s="226">
        <v>409814</v>
      </c>
      <c r="C12" s="230">
        <v>15929132</v>
      </c>
      <c r="D12" s="230">
        <v>32695909</v>
      </c>
      <c r="E12" s="465">
        <f t="shared" si="0"/>
        <v>205.25857278350134</v>
      </c>
      <c r="G12" s="11"/>
    </row>
    <row r="13" spans="1:7" ht="18.95" customHeight="1" x14ac:dyDescent="0.25">
      <c r="A13" s="12" t="s">
        <v>8</v>
      </c>
      <c r="B13" s="227">
        <f>SUM(B9:B12)</f>
        <v>7872344</v>
      </c>
      <c r="C13" s="231">
        <f>SUM(C9:C12)</f>
        <v>23779074</v>
      </c>
      <c r="D13" s="231">
        <f>SUM(D9:D12)</f>
        <v>38932906</v>
      </c>
      <c r="E13" s="466">
        <f t="shared" si="0"/>
        <v>163.72759511156744</v>
      </c>
    </row>
    <row r="14" spans="1:7" s="6" customFormat="1" ht="21.75" customHeight="1" x14ac:dyDescent="0.2">
      <c r="A14" s="7" t="s">
        <v>105</v>
      </c>
      <c r="B14" s="224">
        <v>13236</v>
      </c>
      <c r="C14" s="232">
        <v>13405</v>
      </c>
      <c r="D14" s="229">
        <v>19098718</v>
      </c>
      <c r="E14" s="465">
        <f t="shared" si="0"/>
        <v>142474.58411040658</v>
      </c>
    </row>
    <row r="15" spans="1:7" s="6" customFormat="1" ht="45.75" customHeight="1" thickBot="1" x14ac:dyDescent="0.3">
      <c r="A15" s="8" t="s">
        <v>7</v>
      </c>
      <c r="B15" s="228">
        <f>B13-B14</f>
        <v>7859108</v>
      </c>
      <c r="C15" s="233">
        <f>C13-C14</f>
        <v>23765669</v>
      </c>
      <c r="D15" s="233">
        <f>D13-D14</f>
        <v>19834188</v>
      </c>
      <c r="E15" s="467">
        <f>(D15/C15)*100</f>
        <v>83.457309785809102</v>
      </c>
    </row>
    <row r="16" spans="1:7" ht="13.5" thickTop="1" x14ac:dyDescent="0.2">
      <c r="A16" s="222"/>
      <c r="B16" s="222"/>
      <c r="C16" s="223"/>
      <c r="D16" s="223"/>
      <c r="E16" s="222"/>
    </row>
    <row r="17" spans="1:7" x14ac:dyDescent="0.2">
      <c r="A17" s="521" t="s">
        <v>124</v>
      </c>
      <c r="B17" s="521"/>
      <c r="C17" s="521"/>
      <c r="D17" s="521"/>
      <c r="E17" s="521"/>
    </row>
    <row r="18" spans="1:7" x14ac:dyDescent="0.2">
      <c r="A18" s="521"/>
      <c r="B18" s="521"/>
      <c r="C18" s="521"/>
      <c r="D18" s="521"/>
      <c r="E18" s="521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2"/>
      <c r="D20" s="222"/>
      <c r="E20" s="222"/>
      <c r="F20" s="13"/>
      <c r="G20" s="13"/>
    </row>
    <row r="21" spans="1:7" x14ac:dyDescent="0.2">
      <c r="A21" s="222"/>
      <c r="B21" s="333"/>
      <c r="C21" s="223"/>
      <c r="D21" s="223"/>
      <c r="E21" s="222"/>
    </row>
    <row r="24" spans="1:7" ht="21.75" customHeight="1" x14ac:dyDescent="0.2">
      <c r="B24" s="256"/>
      <c r="C24" s="256"/>
      <c r="D24" s="256"/>
    </row>
    <row r="25" spans="1:7" ht="28.5" customHeight="1" x14ac:dyDescent="0.2">
      <c r="B25" s="256"/>
      <c r="C25" s="256"/>
      <c r="D25" s="256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4" orientation="portrait" cellComments="asDisplayed" useFirstPageNumber="1" r:id="rId1"/>
  <headerFooter alignWithMargins="0">
    <oddFooter xml:space="preserve">&amp;L&amp;"Arial CE,Kurzíva"Zastupitelstvo Olomouckého kraje 16. 12. 2024
9.2. - Rozpočet Olomouckého kraje 2024 - plnění rozpočtu k 30. 9. 2024
Příloha č. 2 - Plnění rozpočtu Olomouckého kraje k 30. 9. 2024&amp;R&amp;"Arial CE,Kurzíva"Strana &amp;P (Celkem 9)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4"/>
  </sheetPr>
  <dimension ref="A1:O124"/>
  <sheetViews>
    <sheetView showGridLines="0" view="pageBreakPreview" topLeftCell="A89" zoomScaleNormal="100" zoomScaleSheetLayoutView="100" workbookViewId="0">
      <selection activeCell="D111" sqref="D111"/>
    </sheetView>
  </sheetViews>
  <sheetFormatPr defaultColWidth="9.140625" defaultRowHeight="14.25" x14ac:dyDescent="0.2"/>
  <cols>
    <col min="1" max="1" width="53.42578125" style="219" customWidth="1"/>
    <col min="2" max="2" width="5.140625" style="109" customWidth="1"/>
    <col min="3" max="3" width="14.42578125" style="121" customWidth="1"/>
    <col min="4" max="4" width="15" style="121" customWidth="1"/>
    <col min="5" max="5" width="15.5703125" style="121" customWidth="1"/>
    <col min="6" max="6" width="10.5703125" style="121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7" t="s">
        <v>154</v>
      </c>
      <c r="B1" s="528"/>
      <c r="C1" s="528"/>
      <c r="D1" s="528"/>
      <c r="E1" s="528"/>
      <c r="F1" s="528"/>
      <c r="G1" s="14"/>
      <c r="H1" s="14"/>
      <c r="I1" s="14"/>
      <c r="K1" s="16"/>
    </row>
    <row r="2" spans="1:14" ht="23.25" x14ac:dyDescent="0.35">
      <c r="A2" s="529"/>
      <c r="B2" s="529"/>
      <c r="C2" s="529"/>
      <c r="D2" s="529"/>
      <c r="E2" s="529"/>
      <c r="F2" s="529"/>
      <c r="G2" s="18"/>
      <c r="H2" s="18"/>
      <c r="I2" s="18"/>
      <c r="K2" s="16"/>
    </row>
    <row r="3" spans="1:14" ht="15" thickBot="1" x14ac:dyDescent="0.25">
      <c r="F3" s="288" t="s">
        <v>0</v>
      </c>
      <c r="G3" s="23"/>
      <c r="H3" s="23"/>
      <c r="I3" s="23"/>
    </row>
    <row r="4" spans="1:14" s="25" customFormat="1" ht="24" thickTop="1" thickBot="1" x14ac:dyDescent="0.25">
      <c r="A4" s="262" t="s">
        <v>9</v>
      </c>
      <c r="B4" s="263" t="s">
        <v>10</v>
      </c>
      <c r="C4" s="264" t="s">
        <v>11</v>
      </c>
      <c r="D4" s="264" t="s">
        <v>12</v>
      </c>
      <c r="E4" s="264" t="s">
        <v>4</v>
      </c>
      <c r="F4" s="265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0">
        <v>1</v>
      </c>
      <c r="B5" s="258">
        <v>2</v>
      </c>
      <c r="C5" s="258">
        <v>3</v>
      </c>
      <c r="D5" s="258">
        <v>4</v>
      </c>
      <c r="E5" s="258">
        <v>5</v>
      </c>
      <c r="F5" s="266" t="s">
        <v>96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445" t="s">
        <v>13</v>
      </c>
      <c r="B6" s="110">
        <v>1</v>
      </c>
      <c r="C6" s="83">
        <f>SUM(C7:C9)</f>
        <v>48558</v>
      </c>
      <c r="D6" s="83">
        <f t="shared" ref="D6:E6" si="0">SUM(D7:D9)</f>
        <v>48558</v>
      </c>
      <c r="E6" s="83">
        <f t="shared" si="0"/>
        <v>26835</v>
      </c>
      <c r="F6" s="490">
        <f t="shared" ref="F6:F35" si="1">(E6/D6)*100</f>
        <v>55.263808229333989</v>
      </c>
      <c r="G6" s="27"/>
      <c r="H6" s="27"/>
      <c r="I6" s="27"/>
      <c r="J6" s="190"/>
      <c r="K6" s="67"/>
      <c r="N6" s="245"/>
    </row>
    <row r="7" spans="1:14" s="32" customFormat="1" x14ac:dyDescent="0.2">
      <c r="A7" s="28" t="s">
        <v>108</v>
      </c>
      <c r="B7" s="297"/>
      <c r="C7" s="30">
        <f>48558-C9</f>
        <v>47972</v>
      </c>
      <c r="D7" s="30">
        <f>48558-D9</f>
        <v>47972</v>
      </c>
      <c r="E7" s="30">
        <f>26835-E9</f>
        <v>26430</v>
      </c>
      <c r="F7" s="492">
        <f t="shared" si="1"/>
        <v>55.09463853914783</v>
      </c>
      <c r="G7" s="31"/>
      <c r="H7" s="31"/>
      <c r="I7" s="31"/>
      <c r="J7" s="190"/>
      <c r="K7" s="55"/>
      <c r="N7" s="33"/>
    </row>
    <row r="8" spans="1:14" s="32" customFormat="1" x14ac:dyDescent="0.2">
      <c r="A8" s="28" t="s">
        <v>106</v>
      </c>
      <c r="B8" s="444"/>
      <c r="C8" s="30">
        <v>0</v>
      </c>
      <c r="D8" s="30">
        <v>0</v>
      </c>
      <c r="E8" s="30">
        <v>0</v>
      </c>
      <c r="F8" s="492">
        <v>0</v>
      </c>
      <c r="G8" s="31"/>
      <c r="H8" s="31"/>
      <c r="I8" s="31"/>
      <c r="J8" s="190"/>
      <c r="K8" s="55"/>
      <c r="N8" s="33"/>
    </row>
    <row r="9" spans="1:14" s="32" customFormat="1" x14ac:dyDescent="0.2">
      <c r="A9" s="441" t="s">
        <v>107</v>
      </c>
      <c r="B9" s="299"/>
      <c r="C9" s="493">
        <v>586</v>
      </c>
      <c r="D9" s="493">
        <v>586</v>
      </c>
      <c r="E9" s="493">
        <v>405</v>
      </c>
      <c r="F9" s="468">
        <f t="shared" si="1"/>
        <v>69.112627986348116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00" t="s">
        <v>150</v>
      </c>
      <c r="B10" s="446">
        <v>2</v>
      </c>
      <c r="C10" s="489">
        <f>SUM(C11:C13)</f>
        <v>430315</v>
      </c>
      <c r="D10" s="489">
        <f>SUM(D11:D13)</f>
        <v>446655</v>
      </c>
      <c r="E10" s="489">
        <f>SUM(E11:E13)</f>
        <v>277004</v>
      </c>
      <c r="F10" s="490">
        <f t="shared" ref="F10:F11" si="2">(E10/D10)*100</f>
        <v>62.017440754049545</v>
      </c>
      <c r="G10" s="246"/>
      <c r="H10" s="27"/>
      <c r="I10" s="27"/>
      <c r="J10" s="27"/>
      <c r="K10" s="67"/>
      <c r="N10" s="36"/>
    </row>
    <row r="11" spans="1:14" s="35" customFormat="1" x14ac:dyDescent="0.2">
      <c r="A11" s="28" t="s">
        <v>108</v>
      </c>
      <c r="B11" s="37"/>
      <c r="C11" s="30">
        <f>430315-C13</f>
        <v>417665</v>
      </c>
      <c r="D11" s="30">
        <f>446655-D13</f>
        <v>433836</v>
      </c>
      <c r="E11" s="30">
        <f>277004-E13</f>
        <v>268614</v>
      </c>
      <c r="F11" s="492">
        <f t="shared" si="2"/>
        <v>61.916023566509004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106</v>
      </c>
      <c r="B12" s="37"/>
      <c r="C12" s="30">
        <v>0</v>
      </c>
      <c r="D12" s="30">
        <v>0</v>
      </c>
      <c r="E12" s="30">
        <v>0</v>
      </c>
      <c r="F12" s="492"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441" t="s">
        <v>107</v>
      </c>
      <c r="B13" s="297"/>
      <c r="C13" s="30">
        <v>12650</v>
      </c>
      <c r="D13" s="30">
        <v>12819</v>
      </c>
      <c r="E13" s="30">
        <v>8390</v>
      </c>
      <c r="F13" s="468">
        <f t="shared" ref="F13" si="3">(E13/D13)*100</f>
        <v>65.449723067321941</v>
      </c>
      <c r="G13" s="31"/>
      <c r="H13" s="31"/>
      <c r="I13" s="31"/>
      <c r="J13" s="31"/>
      <c r="K13" s="55"/>
      <c r="N13" s="33"/>
    </row>
    <row r="14" spans="1:14" s="35" customFormat="1" ht="15" x14ac:dyDescent="0.25">
      <c r="A14" s="300" t="s">
        <v>85</v>
      </c>
      <c r="B14" s="446">
        <v>3</v>
      </c>
      <c r="C14" s="489">
        <f>SUM(C15:C16)</f>
        <v>133207</v>
      </c>
      <c r="D14" s="489">
        <f>SUM(D15:D16)</f>
        <v>135955</v>
      </c>
      <c r="E14" s="489">
        <f>SUM(E15:E16)</f>
        <v>70108</v>
      </c>
      <c r="F14" s="490">
        <f t="shared" si="1"/>
        <v>51.567062631017613</v>
      </c>
      <c r="G14" s="246"/>
      <c r="H14" s="27"/>
      <c r="I14" s="27"/>
      <c r="J14" s="27"/>
      <c r="K14" s="67"/>
      <c r="N14" s="36"/>
    </row>
    <row r="15" spans="1:14" s="35" customFormat="1" x14ac:dyDescent="0.2">
      <c r="A15" s="28" t="s">
        <v>108</v>
      </c>
      <c r="B15" s="37"/>
      <c r="C15" s="30">
        <v>128007</v>
      </c>
      <c r="D15" s="30">
        <v>127919</v>
      </c>
      <c r="E15" s="30">
        <v>66247</v>
      </c>
      <c r="F15" s="492">
        <f t="shared" si="1"/>
        <v>51.788240996255439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106</v>
      </c>
      <c r="B16" s="37"/>
      <c r="C16" s="30">
        <v>5200</v>
      </c>
      <c r="D16" s="30">
        <v>8036</v>
      </c>
      <c r="E16" s="30">
        <v>3861</v>
      </c>
      <c r="F16" s="468">
        <f>(E16/D16)*100</f>
        <v>48.046291687406672</v>
      </c>
      <c r="G16" s="31"/>
      <c r="H16" s="31"/>
      <c r="I16" s="31"/>
      <c r="J16" s="31"/>
      <c r="K16" s="55"/>
      <c r="N16" s="36"/>
    </row>
    <row r="17" spans="1:14" s="35" customFormat="1" ht="16.5" customHeight="1" x14ac:dyDescent="0.25">
      <c r="A17" s="307" t="s">
        <v>86</v>
      </c>
      <c r="B17" s="446">
        <v>4</v>
      </c>
      <c r="C17" s="489">
        <f>SUM(C18:C19)</f>
        <v>51540</v>
      </c>
      <c r="D17" s="489">
        <f t="shared" ref="D17:E17" si="4">SUM(D18:D19)</f>
        <v>51629</v>
      </c>
      <c r="E17" s="489">
        <f t="shared" si="4"/>
        <v>33039</v>
      </c>
      <c r="F17" s="490">
        <f t="shared" si="1"/>
        <v>63.993104650487133</v>
      </c>
      <c r="G17" s="246"/>
      <c r="H17" s="27"/>
      <c r="I17" s="27"/>
      <c r="J17" s="27"/>
      <c r="K17" s="67"/>
      <c r="N17" s="36"/>
    </row>
    <row r="18" spans="1:14" s="35" customFormat="1" x14ac:dyDescent="0.2">
      <c r="A18" s="28" t="s">
        <v>108</v>
      </c>
      <c r="B18" s="37"/>
      <c r="C18" s="30">
        <v>45555</v>
      </c>
      <c r="D18" s="30">
        <v>45555</v>
      </c>
      <c r="E18" s="30">
        <v>32258</v>
      </c>
      <c r="F18" s="492">
        <f t="shared" si="1"/>
        <v>70.81110745252991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106</v>
      </c>
      <c r="B19" s="37"/>
      <c r="C19" s="30">
        <v>5985</v>
      </c>
      <c r="D19" s="30">
        <v>6074</v>
      </c>
      <c r="E19" s="30">
        <v>781</v>
      </c>
      <c r="F19" s="468">
        <f t="shared" si="1"/>
        <v>12.858083635166281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00" t="s">
        <v>118</v>
      </c>
      <c r="B20" s="446">
        <v>6</v>
      </c>
      <c r="C20" s="489">
        <f>SUM(C21:C22)</f>
        <v>75423</v>
      </c>
      <c r="D20" s="489">
        <f>SUM(D21:D22)</f>
        <v>76062</v>
      </c>
      <c r="E20" s="489">
        <f>SUM(E21:E22)</f>
        <v>43969</v>
      </c>
      <c r="F20" s="490">
        <f t="shared" ref="F20" si="5">(E20/D20)*100</f>
        <v>57.806789198285614</v>
      </c>
      <c r="G20" s="31"/>
      <c r="H20" s="31"/>
      <c r="I20" s="31"/>
      <c r="J20" s="31"/>
      <c r="K20" s="55"/>
      <c r="N20" s="36"/>
    </row>
    <row r="21" spans="1:14" s="35" customFormat="1" x14ac:dyDescent="0.2">
      <c r="A21" s="28" t="s">
        <v>108</v>
      </c>
      <c r="B21" s="37"/>
      <c r="C21" s="30">
        <v>45111</v>
      </c>
      <c r="D21" s="30">
        <v>51971</v>
      </c>
      <c r="E21" s="30">
        <v>29450</v>
      </c>
      <c r="F21" s="492">
        <f>(E21/D21)*100</f>
        <v>56.666217698331764</v>
      </c>
      <c r="G21" s="31"/>
      <c r="H21" s="31"/>
      <c r="I21" s="31"/>
      <c r="J21" s="31"/>
      <c r="K21" s="55"/>
      <c r="N21" s="36"/>
    </row>
    <row r="22" spans="1:14" s="35" customFormat="1" x14ac:dyDescent="0.2">
      <c r="A22" s="28" t="s">
        <v>106</v>
      </c>
      <c r="B22" s="37"/>
      <c r="C22" s="30">
        <v>30312</v>
      </c>
      <c r="D22" s="30">
        <v>24091</v>
      </c>
      <c r="E22" s="30">
        <v>14519</v>
      </c>
      <c r="F22" s="468">
        <f t="shared" ref="F22" si="6">(E22/D22)*100</f>
        <v>60.267319745963221</v>
      </c>
      <c r="G22" s="31"/>
      <c r="H22" s="31"/>
      <c r="I22" s="31"/>
      <c r="J22" s="31"/>
      <c r="K22" s="55"/>
      <c r="N22" s="36"/>
    </row>
    <row r="23" spans="1:14" s="35" customFormat="1" ht="15" x14ac:dyDescent="0.25">
      <c r="A23" s="300" t="s">
        <v>19</v>
      </c>
      <c r="B23" s="446">
        <v>7</v>
      </c>
      <c r="C23" s="489">
        <f>SUM(C24:C27)</f>
        <v>520799</v>
      </c>
      <c r="D23" s="489">
        <f>SUM(D24:D27)</f>
        <v>610010</v>
      </c>
      <c r="E23" s="489">
        <f t="shared" ref="E23" si="7">SUM(E24:E27)</f>
        <v>18873704</v>
      </c>
      <c r="F23" s="490">
        <f t="shared" si="1"/>
        <v>3093.9991147686105</v>
      </c>
      <c r="G23" s="27"/>
      <c r="H23" s="27"/>
      <c r="I23" s="27"/>
      <c r="J23" s="27"/>
      <c r="K23" s="67"/>
      <c r="N23" s="36"/>
    </row>
    <row r="24" spans="1:14" s="35" customFormat="1" x14ac:dyDescent="0.2">
      <c r="A24" s="28" t="s">
        <v>108</v>
      </c>
      <c r="B24" s="37"/>
      <c r="C24" s="30">
        <f>520799-C27-C26</f>
        <v>392715</v>
      </c>
      <c r="D24" s="30">
        <f>610010-D27-D26</f>
        <v>460219</v>
      </c>
      <c r="E24" s="30">
        <f>18873704-E27-E26</f>
        <v>184999</v>
      </c>
      <c r="F24" s="492">
        <f>(E24/D24)*100</f>
        <v>40.198036152353552</v>
      </c>
      <c r="G24" s="85"/>
      <c r="H24" s="31"/>
      <c r="I24" s="31"/>
      <c r="J24" s="31"/>
      <c r="K24" s="55"/>
      <c r="N24" s="36"/>
    </row>
    <row r="25" spans="1:14" s="35" customFormat="1" x14ac:dyDescent="0.2">
      <c r="A25" s="28" t="s">
        <v>106</v>
      </c>
      <c r="B25" s="37"/>
      <c r="C25" s="30">
        <v>0</v>
      </c>
      <c r="D25" s="30">
        <v>0</v>
      </c>
      <c r="E25" s="30">
        <v>0</v>
      </c>
      <c r="F25" s="492">
        <v>0</v>
      </c>
      <c r="G25" s="31"/>
      <c r="H25" s="31"/>
      <c r="I25" s="31"/>
      <c r="J25" s="31"/>
      <c r="K25" s="55"/>
      <c r="N25" s="36"/>
    </row>
    <row r="26" spans="1:14" s="32" customFormat="1" x14ac:dyDescent="0.2">
      <c r="A26" s="442" t="s">
        <v>109</v>
      </c>
      <c r="B26" s="297"/>
      <c r="C26" s="30">
        <v>128084</v>
      </c>
      <c r="D26" s="30">
        <v>149791</v>
      </c>
      <c r="E26" s="30">
        <v>0</v>
      </c>
      <c r="F26" s="492">
        <v>0</v>
      </c>
      <c r="G26" s="31"/>
      <c r="H26" s="31"/>
      <c r="I26" s="31"/>
      <c r="J26" s="31"/>
      <c r="K26" s="55"/>
      <c r="N26" s="33"/>
    </row>
    <row r="27" spans="1:14" s="32" customFormat="1" x14ac:dyDescent="0.2">
      <c r="A27" s="441" t="s">
        <v>107</v>
      </c>
      <c r="B27" s="299"/>
      <c r="C27" s="493">
        <v>0</v>
      </c>
      <c r="D27" s="493">
        <v>0</v>
      </c>
      <c r="E27" s="493">
        <v>18688705</v>
      </c>
      <c r="F27" s="468">
        <v>0</v>
      </c>
      <c r="G27" s="31"/>
      <c r="H27" s="31"/>
      <c r="I27" s="31"/>
      <c r="J27" s="31"/>
      <c r="K27" s="55"/>
      <c r="N27" s="33"/>
    </row>
    <row r="28" spans="1:14" s="35" customFormat="1" ht="15" x14ac:dyDescent="0.25">
      <c r="A28" s="440" t="s">
        <v>87</v>
      </c>
      <c r="B28" s="37">
        <v>8</v>
      </c>
      <c r="C28" s="494">
        <f>SUM(C29:C31)</f>
        <v>153951</v>
      </c>
      <c r="D28" s="494">
        <f t="shared" ref="D28" si="8">SUM(D29:D31)</f>
        <v>137222</v>
      </c>
      <c r="E28" s="494">
        <f>SUM(E29:E31)</f>
        <v>69273</v>
      </c>
      <c r="F28" s="490">
        <f>(E28/D28)*100</f>
        <v>50.482429931060615</v>
      </c>
      <c r="G28" s="27"/>
      <c r="H28" s="27"/>
      <c r="I28" s="27"/>
      <c r="J28" s="27"/>
      <c r="K28" s="67"/>
      <c r="N28" s="36"/>
    </row>
    <row r="29" spans="1:14" s="35" customFormat="1" x14ac:dyDescent="0.2">
      <c r="A29" s="28" t="s">
        <v>108</v>
      </c>
      <c r="B29" s="37"/>
      <c r="C29" s="30">
        <f>153951-C31-C30</f>
        <v>110336</v>
      </c>
      <c r="D29" s="30">
        <f>137222-D31-D30</f>
        <v>76104</v>
      </c>
      <c r="E29" s="30">
        <f>69273-E31-E30</f>
        <v>16648</v>
      </c>
      <c r="F29" s="492">
        <f t="shared" si="1"/>
        <v>21.875328497845054</v>
      </c>
      <c r="G29" s="31"/>
      <c r="H29" s="31"/>
      <c r="I29" s="31"/>
      <c r="J29" s="31"/>
      <c r="K29" s="55"/>
      <c r="N29" s="36"/>
    </row>
    <row r="30" spans="1:14" s="35" customFormat="1" x14ac:dyDescent="0.2">
      <c r="A30" s="28" t="s">
        <v>106</v>
      </c>
      <c r="B30" s="37"/>
      <c r="C30" s="30">
        <v>0</v>
      </c>
      <c r="D30" s="30">
        <v>0</v>
      </c>
      <c r="E30" s="30">
        <v>0</v>
      </c>
      <c r="F30" s="492">
        <v>0</v>
      </c>
      <c r="G30" s="31"/>
      <c r="H30" s="31"/>
      <c r="I30" s="31"/>
      <c r="J30" s="31"/>
      <c r="K30" s="55"/>
      <c r="N30" s="36"/>
    </row>
    <row r="31" spans="1:14" s="32" customFormat="1" x14ac:dyDescent="0.2">
      <c r="A31" s="441" t="s">
        <v>109</v>
      </c>
      <c r="B31" s="299"/>
      <c r="C31" s="493">
        <v>43615</v>
      </c>
      <c r="D31" s="493">
        <v>61118</v>
      </c>
      <c r="E31" s="493">
        <v>52625</v>
      </c>
      <c r="F31" s="468">
        <f t="shared" si="1"/>
        <v>86.103930102424826</v>
      </c>
      <c r="G31" s="31"/>
      <c r="H31" s="31"/>
      <c r="I31" s="31"/>
      <c r="J31" s="190"/>
      <c r="K31" s="55"/>
      <c r="N31" s="33"/>
    </row>
    <row r="32" spans="1:14" ht="15" customHeight="1" x14ac:dyDescent="0.25">
      <c r="A32" s="440" t="s">
        <v>20</v>
      </c>
      <c r="B32" s="37">
        <v>9</v>
      </c>
      <c r="C32" s="494">
        <f>SUM(C33:C35)</f>
        <v>22840</v>
      </c>
      <c r="D32" s="494">
        <f t="shared" ref="D32" si="9">SUM(D33:D35)</f>
        <v>78640</v>
      </c>
      <c r="E32" s="494">
        <f>SUM(E33:E35)</f>
        <v>6076</v>
      </c>
      <c r="F32" s="490">
        <f t="shared" si="1"/>
        <v>7.7263479145473042</v>
      </c>
      <c r="G32" s="246"/>
      <c r="H32" s="27"/>
      <c r="I32" s="27"/>
      <c r="J32" s="190"/>
      <c r="K32" s="67"/>
    </row>
    <row r="33" spans="1:15" ht="15" customHeight="1" x14ac:dyDescent="0.2">
      <c r="A33" s="28" t="s">
        <v>108</v>
      </c>
      <c r="B33" s="37"/>
      <c r="C33" s="500">
        <f>22840-C35</f>
        <v>8640</v>
      </c>
      <c r="D33" s="500">
        <f>78640-D35-D34</f>
        <v>11651</v>
      </c>
      <c r="E33" s="500">
        <f>6076-E35</f>
        <v>-3079</v>
      </c>
      <c r="F33" s="492">
        <f>(E33/D33)*100</f>
        <v>-26.42691614453695</v>
      </c>
      <c r="G33" s="31"/>
      <c r="H33" s="31"/>
      <c r="I33" s="31"/>
      <c r="J33" s="190"/>
      <c r="K33" s="55"/>
    </row>
    <row r="34" spans="1:15" ht="15" customHeight="1" x14ac:dyDescent="0.2">
      <c r="A34" s="28" t="s">
        <v>106</v>
      </c>
      <c r="B34" s="37"/>
      <c r="C34" s="30">
        <v>0</v>
      </c>
      <c r="D34" s="500">
        <v>45799</v>
      </c>
      <c r="E34" s="30">
        <v>0</v>
      </c>
      <c r="F34" s="492">
        <v>0</v>
      </c>
      <c r="G34" s="31"/>
      <c r="H34" s="31"/>
      <c r="I34" s="85"/>
      <c r="J34" s="85"/>
      <c r="K34" s="55"/>
    </row>
    <row r="35" spans="1:15" s="32" customFormat="1" x14ac:dyDescent="0.2">
      <c r="A35" s="441" t="s">
        <v>109</v>
      </c>
      <c r="B35" s="299"/>
      <c r="C35" s="493">
        <v>14200</v>
      </c>
      <c r="D35" s="505">
        <v>21190</v>
      </c>
      <c r="E35" s="505">
        <v>9155</v>
      </c>
      <c r="F35" s="492">
        <f t="shared" si="1"/>
        <v>43.204341670599341</v>
      </c>
      <c r="G35" s="31"/>
      <c r="H35" s="247"/>
      <c r="I35" s="247"/>
      <c r="J35" s="247"/>
      <c r="K35" s="55"/>
      <c r="N35" s="33"/>
    </row>
    <row r="36" spans="1:15" s="48" customFormat="1" ht="15" x14ac:dyDescent="0.25">
      <c r="A36" s="307" t="s">
        <v>98</v>
      </c>
      <c r="B36" s="308">
        <v>10</v>
      </c>
      <c r="C36" s="489">
        <f>C37+C41+C44</f>
        <v>581829</v>
      </c>
      <c r="D36" s="489">
        <f>D37+D41+D44</f>
        <v>13077799</v>
      </c>
      <c r="E36" s="489">
        <f>E37+E41+E44</f>
        <v>8918087</v>
      </c>
      <c r="F36" s="498">
        <f t="shared" ref="F36:F62" si="10">(E36/D36)*100</f>
        <v>68.192568183682894</v>
      </c>
      <c r="G36" s="27"/>
      <c r="H36" s="67"/>
      <c r="I36" s="67"/>
      <c r="J36" s="190"/>
      <c r="K36" s="67"/>
      <c r="N36" s="248"/>
    </row>
    <row r="37" spans="1:15" s="48" customFormat="1" x14ac:dyDescent="0.2">
      <c r="A37" s="296" t="s">
        <v>21</v>
      </c>
      <c r="B37" s="295"/>
      <c r="C37" s="491">
        <f>C38+C39+C40</f>
        <v>31184</v>
      </c>
      <c r="D37" s="491">
        <f>D38+D39+D40</f>
        <v>31426</v>
      </c>
      <c r="E37" s="491">
        <f>E38+E39+E40</f>
        <v>29589</v>
      </c>
      <c r="F37" s="492">
        <f t="shared" si="10"/>
        <v>94.154521733596383</v>
      </c>
      <c r="G37" s="31"/>
      <c r="H37" s="31"/>
      <c r="I37" s="31"/>
      <c r="J37" s="69"/>
      <c r="K37" s="249"/>
      <c r="L37" s="76"/>
      <c r="M37" s="76"/>
      <c r="N37" s="69"/>
      <c r="O37" s="76"/>
    </row>
    <row r="38" spans="1:15" s="48" customFormat="1" x14ac:dyDescent="0.2">
      <c r="A38" s="28" t="s">
        <v>108</v>
      </c>
      <c r="B38" s="447"/>
      <c r="C38" s="30">
        <v>10284</v>
      </c>
      <c r="D38" s="30">
        <v>8838</v>
      </c>
      <c r="E38" s="30">
        <v>7679</v>
      </c>
      <c r="F38" s="492">
        <f t="shared" si="10"/>
        <v>86.886173342385149</v>
      </c>
      <c r="G38" s="31"/>
      <c r="H38" s="31"/>
      <c r="I38" s="31"/>
      <c r="J38" s="69"/>
      <c r="K38" s="55"/>
      <c r="L38" s="41"/>
      <c r="M38" s="76"/>
      <c r="N38" s="69"/>
      <c r="O38" s="76"/>
    </row>
    <row r="39" spans="1:15" s="48" customFormat="1" x14ac:dyDescent="0.2">
      <c r="A39" s="28" t="s">
        <v>106</v>
      </c>
      <c r="B39" s="448"/>
      <c r="C39" s="30">
        <v>0</v>
      </c>
      <c r="D39" s="30">
        <v>0</v>
      </c>
      <c r="E39" s="30">
        <v>0</v>
      </c>
      <c r="F39" s="492">
        <v>0</v>
      </c>
      <c r="G39" s="31"/>
      <c r="H39" s="31"/>
      <c r="I39" s="31"/>
      <c r="J39" s="69"/>
      <c r="K39" s="55"/>
      <c r="L39" s="250"/>
      <c r="M39" s="76"/>
      <c r="N39" s="69"/>
      <c r="O39" s="76"/>
    </row>
    <row r="40" spans="1:15" s="48" customFormat="1" x14ac:dyDescent="0.2">
      <c r="A40" s="442" t="s">
        <v>109</v>
      </c>
      <c r="B40" s="448"/>
      <c r="C40" s="30">
        <v>20900</v>
      </c>
      <c r="D40" s="30">
        <v>22588</v>
      </c>
      <c r="E40" s="30">
        <v>21910</v>
      </c>
      <c r="F40" s="492">
        <f>(E40/D40)*100</f>
        <v>96.998406233398256</v>
      </c>
      <c r="G40" s="31"/>
      <c r="H40" s="31"/>
      <c r="I40" s="31"/>
      <c r="J40" s="69"/>
      <c r="K40" s="55"/>
      <c r="L40" s="250"/>
      <c r="M40" s="76"/>
      <c r="N40" s="69"/>
      <c r="O40" s="76"/>
    </row>
    <row r="41" spans="1:15" s="48" customFormat="1" x14ac:dyDescent="0.2">
      <c r="A41" s="51" t="s">
        <v>22</v>
      </c>
      <c r="B41" s="448"/>
      <c r="C41" s="491">
        <f>C42+C43</f>
        <v>550645</v>
      </c>
      <c r="D41" s="491">
        <f>D42+D43</f>
        <v>4702640</v>
      </c>
      <c r="E41" s="491">
        <f>E42+E43</f>
        <v>3161185</v>
      </c>
      <c r="F41" s="492">
        <f t="shared" si="10"/>
        <v>67.221496861337457</v>
      </c>
      <c r="G41" s="31"/>
      <c r="H41" s="31"/>
      <c r="I41" s="31"/>
      <c r="J41" s="190"/>
      <c r="K41" s="249"/>
      <c r="L41" s="76"/>
      <c r="M41" s="76"/>
      <c r="N41" s="69"/>
      <c r="O41" s="76"/>
    </row>
    <row r="42" spans="1:15" s="48" customFormat="1" x14ac:dyDescent="0.2">
      <c r="A42" s="28" t="s">
        <v>108</v>
      </c>
      <c r="B42" s="448"/>
      <c r="C42" s="30">
        <f>533215-2400</f>
        <v>530815</v>
      </c>
      <c r="D42" s="30">
        <f>4607887-428-90</f>
        <v>4607369</v>
      </c>
      <c r="E42" s="30">
        <f>3112012-397-90</f>
        <v>3111525</v>
      </c>
      <c r="F42" s="492">
        <f t="shared" si="10"/>
        <v>67.53366183607173</v>
      </c>
      <c r="G42" s="251"/>
      <c r="H42" s="251"/>
      <c r="I42" s="31"/>
      <c r="J42" s="190"/>
      <c r="K42" s="55"/>
      <c r="L42" s="76"/>
      <c r="M42" s="76"/>
      <c r="N42" s="69"/>
      <c r="O42" s="76"/>
    </row>
    <row r="43" spans="1:15" s="48" customFormat="1" x14ac:dyDescent="0.2">
      <c r="A43" s="28" t="s">
        <v>106</v>
      </c>
      <c r="B43" s="448"/>
      <c r="C43" s="30">
        <v>19830</v>
      </c>
      <c r="D43" s="30">
        <v>95271</v>
      </c>
      <c r="E43" s="30">
        <v>49660</v>
      </c>
      <c r="F43" s="492">
        <f t="shared" si="10"/>
        <v>52.124990815673186</v>
      </c>
      <c r="G43" s="31"/>
      <c r="H43" s="31"/>
      <c r="I43" s="31"/>
      <c r="J43" s="190"/>
      <c r="K43" s="55"/>
      <c r="L43" s="76"/>
      <c r="M43" s="76"/>
      <c r="N43" s="69"/>
      <c r="O43" s="76"/>
    </row>
    <row r="44" spans="1:15" s="48" customFormat="1" x14ac:dyDescent="0.2">
      <c r="A44" s="449" t="s">
        <v>117</v>
      </c>
      <c r="B44" s="448"/>
      <c r="C44" s="501">
        <f>C45+C46</f>
        <v>0</v>
      </c>
      <c r="D44" s="501">
        <f t="shared" ref="D44:E44" si="11">D45+D46</f>
        <v>8343733</v>
      </c>
      <c r="E44" s="501">
        <f t="shared" si="11"/>
        <v>5727313</v>
      </c>
      <c r="F44" s="502">
        <f t="shared" si="10"/>
        <v>68.642093413104178</v>
      </c>
      <c r="G44" s="31"/>
      <c r="H44" s="31"/>
      <c r="I44" s="31"/>
      <c r="J44" s="69"/>
      <c r="K44" s="249"/>
      <c r="L44" s="76"/>
      <c r="M44" s="76"/>
      <c r="N44" s="69"/>
      <c r="O44" s="76"/>
    </row>
    <row r="45" spans="1:15" s="48" customFormat="1" x14ac:dyDescent="0.2">
      <c r="A45" s="28" t="s">
        <v>108</v>
      </c>
      <c r="B45" s="448"/>
      <c r="C45" s="30">
        <f>0+0</f>
        <v>0</v>
      </c>
      <c r="D45" s="30">
        <v>8343733</v>
      </c>
      <c r="E45" s="30">
        <v>5727313</v>
      </c>
      <c r="F45" s="492">
        <f t="shared" si="10"/>
        <v>68.642093413104178</v>
      </c>
      <c r="G45" s="31"/>
      <c r="H45" s="31"/>
      <c r="I45" s="31"/>
      <c r="J45" s="31"/>
      <c r="K45" s="55"/>
      <c r="L45" s="76"/>
      <c r="M45" s="69"/>
      <c r="N45" s="69"/>
      <c r="O45" s="76"/>
    </row>
    <row r="46" spans="1:15" s="48" customFormat="1" x14ac:dyDescent="0.2">
      <c r="A46" s="298" t="s">
        <v>106</v>
      </c>
      <c r="B46" s="450"/>
      <c r="C46" s="493">
        <v>0</v>
      </c>
      <c r="D46" s="493">
        <v>0</v>
      </c>
      <c r="E46" s="493">
        <v>0</v>
      </c>
      <c r="F46" s="468">
        <v>0</v>
      </c>
      <c r="G46" s="31"/>
      <c r="H46" s="31"/>
      <c r="I46" s="163"/>
      <c r="J46" s="69"/>
      <c r="K46" s="55"/>
      <c r="L46" s="76"/>
      <c r="M46" s="69"/>
      <c r="N46" s="69"/>
      <c r="O46" s="76"/>
    </row>
    <row r="47" spans="1:15" ht="15" x14ac:dyDescent="0.25">
      <c r="A47" s="294" t="s">
        <v>23</v>
      </c>
      <c r="B47" s="295">
        <v>11</v>
      </c>
      <c r="C47" s="494">
        <f>C48+C52</f>
        <v>546836</v>
      </c>
      <c r="D47" s="494">
        <f>D48+D52</f>
        <v>2550305</v>
      </c>
      <c r="E47" s="494">
        <f>E48+E52</f>
        <v>2346883</v>
      </c>
      <c r="F47" s="490">
        <f t="shared" si="10"/>
        <v>92.023620704190279</v>
      </c>
      <c r="G47" s="246"/>
      <c r="H47" s="67"/>
      <c r="I47" s="67"/>
      <c r="J47" s="190"/>
      <c r="K47" s="67"/>
      <c r="L47" s="78"/>
      <c r="M47" s="78"/>
      <c r="N47" s="79"/>
      <c r="O47" s="78"/>
    </row>
    <row r="48" spans="1:15" s="32" customFormat="1" x14ac:dyDescent="0.2">
      <c r="A48" s="296" t="s">
        <v>21</v>
      </c>
      <c r="B48" s="297"/>
      <c r="C48" s="491">
        <f>C49+C50+C51</f>
        <v>98958</v>
      </c>
      <c r="D48" s="491">
        <f t="shared" ref="D48:E48" si="12">D49+D50+D51</f>
        <v>1199677</v>
      </c>
      <c r="E48" s="491">
        <f t="shared" si="12"/>
        <v>1151983</v>
      </c>
      <c r="F48" s="492">
        <f t="shared" si="10"/>
        <v>96.024429909050525</v>
      </c>
      <c r="G48" s="252"/>
      <c r="H48" s="252"/>
      <c r="I48" s="252"/>
      <c r="J48" s="190"/>
      <c r="K48" s="249"/>
      <c r="L48" s="53"/>
      <c r="M48" s="53"/>
      <c r="N48" s="54"/>
      <c r="O48" s="53"/>
    </row>
    <row r="49" spans="1:15" s="32" customFormat="1" x14ac:dyDescent="0.2">
      <c r="A49" s="28" t="s">
        <v>108</v>
      </c>
      <c r="B49" s="297"/>
      <c r="C49" s="30">
        <v>10058</v>
      </c>
      <c r="D49" s="30">
        <v>1093641</v>
      </c>
      <c r="E49" s="30">
        <v>1070792</v>
      </c>
      <c r="F49" s="492">
        <f t="shared" si="10"/>
        <v>97.910740361782345</v>
      </c>
      <c r="G49" s="252"/>
      <c r="H49" s="252"/>
      <c r="I49" s="252"/>
      <c r="J49" s="190"/>
      <c r="K49" s="55"/>
      <c r="L49" s="77"/>
      <c r="M49" s="53"/>
      <c r="N49" s="54"/>
      <c r="O49" s="53"/>
    </row>
    <row r="50" spans="1:15" s="32" customFormat="1" x14ac:dyDescent="0.2">
      <c r="A50" s="28" t="s">
        <v>106</v>
      </c>
      <c r="B50" s="297"/>
      <c r="C50" s="30">
        <v>0</v>
      </c>
      <c r="D50" s="30">
        <v>2000</v>
      </c>
      <c r="E50" s="30">
        <v>0</v>
      </c>
      <c r="F50" s="492">
        <v>0</v>
      </c>
      <c r="G50" s="252"/>
      <c r="H50" s="252"/>
      <c r="I50" s="252"/>
      <c r="J50" s="190"/>
      <c r="K50" s="55"/>
      <c r="L50" s="53"/>
      <c r="M50" s="53"/>
      <c r="N50" s="54"/>
      <c r="O50" s="53"/>
    </row>
    <row r="51" spans="1:15" s="32" customFormat="1" x14ac:dyDescent="0.2">
      <c r="A51" s="442" t="s">
        <v>109</v>
      </c>
      <c r="B51" s="297"/>
      <c r="C51" s="30">
        <v>88900</v>
      </c>
      <c r="D51" s="30">
        <v>104036</v>
      </c>
      <c r="E51" s="30">
        <v>81191</v>
      </c>
      <c r="F51" s="492">
        <f t="shared" si="10"/>
        <v>78.041254950209535</v>
      </c>
      <c r="G51" s="252"/>
      <c r="H51" s="252"/>
      <c r="I51" s="252"/>
      <c r="J51" s="190"/>
      <c r="K51" s="55"/>
      <c r="L51" s="53"/>
      <c r="M51" s="53"/>
      <c r="N51" s="54"/>
      <c r="O51" s="53"/>
    </row>
    <row r="52" spans="1:15" ht="17.45" customHeight="1" x14ac:dyDescent="0.2">
      <c r="A52" s="51" t="s">
        <v>22</v>
      </c>
      <c r="B52" s="295"/>
      <c r="C52" s="491">
        <f>C53+C54</f>
        <v>447878</v>
      </c>
      <c r="D52" s="491">
        <f t="shared" ref="D52:E52" si="13">D53+D54</f>
        <v>1350628</v>
      </c>
      <c r="E52" s="491">
        <f t="shared" si="13"/>
        <v>1194900</v>
      </c>
      <c r="F52" s="492">
        <f t="shared" ref="F52:F54" si="14">(E52/D52)*100</f>
        <v>88.469956198153739</v>
      </c>
      <c r="G52" s="252"/>
      <c r="H52" s="252"/>
      <c r="I52" s="252"/>
      <c r="J52" s="190"/>
      <c r="K52" s="249"/>
      <c r="L52" s="78"/>
      <c r="M52" s="78"/>
      <c r="N52" s="79"/>
      <c r="O52" s="78"/>
    </row>
    <row r="53" spans="1:15" ht="15" customHeight="1" x14ac:dyDescent="0.2">
      <c r="A53" s="28" t="s">
        <v>108</v>
      </c>
      <c r="B53" s="295"/>
      <c r="C53" s="30">
        <v>445578</v>
      </c>
      <c r="D53" s="30">
        <v>1326333</v>
      </c>
      <c r="E53" s="30">
        <v>1181936</v>
      </c>
      <c r="F53" s="492">
        <f t="shared" si="14"/>
        <v>89.11306587410553</v>
      </c>
      <c r="G53" s="31"/>
      <c r="H53" s="31"/>
      <c r="I53" s="31"/>
      <c r="J53" s="190"/>
      <c r="K53" s="55"/>
      <c r="L53" s="78"/>
      <c r="M53" s="78"/>
      <c r="N53" s="79"/>
      <c r="O53" s="78"/>
    </row>
    <row r="54" spans="1:15" ht="15" customHeight="1" x14ac:dyDescent="0.2">
      <c r="A54" s="28" t="s">
        <v>106</v>
      </c>
      <c r="B54" s="295"/>
      <c r="C54" s="30">
        <v>2300</v>
      </c>
      <c r="D54" s="30">
        <v>24295</v>
      </c>
      <c r="E54" s="30">
        <v>12964</v>
      </c>
      <c r="F54" s="468">
        <f t="shared" si="14"/>
        <v>53.360773821774032</v>
      </c>
      <c r="G54" s="31"/>
      <c r="H54" s="31"/>
      <c r="I54" s="31"/>
      <c r="J54" s="190"/>
      <c r="K54" s="55"/>
      <c r="L54" s="78"/>
      <c r="M54" s="78"/>
      <c r="N54" s="79"/>
      <c r="O54" s="78"/>
    </row>
    <row r="55" spans="1:15" ht="15" customHeight="1" x14ac:dyDescent="0.25">
      <c r="A55" s="310" t="s">
        <v>24</v>
      </c>
      <c r="B55" s="308">
        <v>12</v>
      </c>
      <c r="C55" s="489">
        <f>C56+C60</f>
        <v>3030303</v>
      </c>
      <c r="D55" s="489">
        <f>D56+D60</f>
        <v>4213821</v>
      </c>
      <c r="E55" s="489">
        <f>E56+E60</f>
        <v>3363065</v>
      </c>
      <c r="F55" s="490">
        <f t="shared" si="10"/>
        <v>79.810343154111195</v>
      </c>
      <c r="G55" s="27"/>
      <c r="H55" s="67"/>
      <c r="I55" s="67"/>
      <c r="J55" s="190"/>
      <c r="K55" s="67"/>
      <c r="L55" s="78"/>
      <c r="M55" s="78"/>
      <c r="N55" s="79"/>
      <c r="O55" s="78"/>
    </row>
    <row r="56" spans="1:15" ht="15" customHeight="1" x14ac:dyDescent="0.2">
      <c r="A56" s="296" t="s">
        <v>21</v>
      </c>
      <c r="B56" s="295"/>
      <c r="C56" s="491">
        <f>C57+C58+C59</f>
        <v>32934</v>
      </c>
      <c r="D56" s="491">
        <f>D57+D58+D59</f>
        <v>60331</v>
      </c>
      <c r="E56" s="491">
        <f t="shared" ref="E56" si="15">E57+E58+E59</f>
        <v>47388</v>
      </c>
      <c r="F56" s="492">
        <f t="shared" si="10"/>
        <v>78.546684125905415</v>
      </c>
      <c r="G56" s="252"/>
      <c r="H56" s="252"/>
      <c r="I56" s="252"/>
      <c r="J56" s="190"/>
      <c r="K56" s="249"/>
      <c r="L56" s="78"/>
      <c r="M56" s="78"/>
      <c r="N56" s="79"/>
      <c r="O56" s="78"/>
    </row>
    <row r="57" spans="1:15" ht="15" customHeight="1" x14ac:dyDescent="0.2">
      <c r="A57" s="28" t="s">
        <v>108</v>
      </c>
      <c r="B57" s="295"/>
      <c r="C57" s="30">
        <v>5034</v>
      </c>
      <c r="D57" s="30">
        <v>5034</v>
      </c>
      <c r="E57" s="30">
        <v>42</v>
      </c>
      <c r="F57" s="492">
        <f t="shared" si="10"/>
        <v>0.83432657926102505</v>
      </c>
      <c r="G57" s="31"/>
      <c r="H57" s="31"/>
      <c r="I57" s="31"/>
      <c r="J57" s="190"/>
      <c r="K57" s="55"/>
      <c r="L57" s="77"/>
      <c r="M57" s="78"/>
      <c r="N57" s="79"/>
      <c r="O57" s="78"/>
    </row>
    <row r="58" spans="1:15" ht="15" customHeight="1" x14ac:dyDescent="0.2">
      <c r="A58" s="28" t="s">
        <v>106</v>
      </c>
      <c r="B58" s="295"/>
      <c r="C58" s="30">
        <v>5900</v>
      </c>
      <c r="D58" s="30">
        <v>5900</v>
      </c>
      <c r="E58" s="30">
        <v>0</v>
      </c>
      <c r="F58" s="492">
        <f t="shared" si="10"/>
        <v>0</v>
      </c>
      <c r="G58" s="31"/>
      <c r="H58" s="31"/>
      <c r="I58" s="31"/>
      <c r="J58" s="190"/>
      <c r="K58" s="55"/>
      <c r="L58" s="78"/>
      <c r="M58" s="78"/>
      <c r="N58" s="79"/>
      <c r="O58" s="78"/>
    </row>
    <row r="59" spans="1:15" ht="15" customHeight="1" x14ac:dyDescent="0.2">
      <c r="A59" s="442" t="s">
        <v>109</v>
      </c>
      <c r="B59" s="295"/>
      <c r="C59" s="30">
        <v>22000</v>
      </c>
      <c r="D59" s="30">
        <v>49397</v>
      </c>
      <c r="E59" s="30">
        <v>47346</v>
      </c>
      <c r="F59" s="492">
        <f t="shared" si="10"/>
        <v>95.847925987408146</v>
      </c>
      <c r="G59" s="31"/>
      <c r="H59" s="31"/>
      <c r="I59" s="31"/>
      <c r="J59" s="190"/>
      <c r="K59" s="55"/>
      <c r="L59" s="78"/>
      <c r="M59" s="78"/>
      <c r="N59" s="79"/>
      <c r="O59" s="78"/>
    </row>
    <row r="60" spans="1:15" ht="17.45" customHeight="1" x14ac:dyDescent="0.2">
      <c r="A60" s="51" t="s">
        <v>22</v>
      </c>
      <c r="B60" s="295"/>
      <c r="C60" s="491">
        <f>C61+C62</f>
        <v>2997369</v>
      </c>
      <c r="D60" s="491">
        <f t="shared" ref="D60:E60" si="16">D61+D62</f>
        <v>4153490</v>
      </c>
      <c r="E60" s="491">
        <f t="shared" si="16"/>
        <v>3315677</v>
      </c>
      <c r="F60" s="492">
        <f t="shared" si="10"/>
        <v>79.82869827542622</v>
      </c>
      <c r="G60" s="252"/>
      <c r="H60" s="31"/>
      <c r="I60" s="31"/>
      <c r="J60" s="31"/>
      <c r="K60" s="55"/>
      <c r="L60" s="78"/>
      <c r="M60" s="78"/>
      <c r="N60" s="79"/>
      <c r="O60" s="78"/>
    </row>
    <row r="61" spans="1:15" ht="15" customHeight="1" x14ac:dyDescent="0.2">
      <c r="A61" s="28" t="s">
        <v>108</v>
      </c>
      <c r="B61" s="295"/>
      <c r="C61" s="30">
        <v>2726931</v>
      </c>
      <c r="D61" s="30">
        <v>3227450</v>
      </c>
      <c r="E61" s="30">
        <v>2758070</v>
      </c>
      <c r="F61" s="492">
        <f>(E61/D61)*100</f>
        <v>85.456629847092898</v>
      </c>
      <c r="G61" s="31"/>
      <c r="H61" s="31"/>
      <c r="I61" s="31"/>
      <c r="J61" s="190"/>
      <c r="K61" s="55"/>
      <c r="L61" s="78"/>
      <c r="M61" s="78"/>
      <c r="N61" s="79"/>
      <c r="O61" s="78"/>
    </row>
    <row r="62" spans="1:15" ht="15" customHeight="1" thickBot="1" x14ac:dyDescent="0.25">
      <c r="A62" s="313" t="s">
        <v>106</v>
      </c>
      <c r="B62" s="314"/>
      <c r="C62" s="503">
        <v>270438</v>
      </c>
      <c r="D62" s="503">
        <v>926040</v>
      </c>
      <c r="E62" s="503">
        <v>557607</v>
      </c>
      <c r="F62" s="504">
        <f t="shared" si="10"/>
        <v>60.214137618245431</v>
      </c>
      <c r="G62" s="31"/>
      <c r="H62" s="31"/>
      <c r="I62" s="31"/>
      <c r="J62" s="190"/>
      <c r="K62" s="55"/>
      <c r="L62" s="78"/>
      <c r="M62" s="78"/>
      <c r="N62" s="79"/>
      <c r="O62" s="78"/>
    </row>
    <row r="63" spans="1:15" ht="15" customHeight="1" thickTop="1" x14ac:dyDescent="0.2">
      <c r="A63" s="53"/>
      <c r="B63" s="311"/>
      <c r="C63" s="85"/>
      <c r="D63" s="85"/>
      <c r="E63" s="85"/>
      <c r="F63" s="312"/>
      <c r="G63" s="31"/>
      <c r="H63" s="31"/>
      <c r="I63" s="31"/>
      <c r="J63" s="190"/>
      <c r="K63" s="55"/>
      <c r="L63" s="78"/>
      <c r="M63" s="78"/>
      <c r="N63" s="79"/>
      <c r="O63" s="78"/>
    </row>
    <row r="64" spans="1:15" ht="15" customHeight="1" thickBot="1" x14ac:dyDescent="0.25">
      <c r="A64" s="290"/>
      <c r="B64" s="238"/>
      <c r="C64" s="291"/>
      <c r="D64" s="291"/>
      <c r="E64" s="291"/>
      <c r="F64" s="288" t="s">
        <v>0</v>
      </c>
      <c r="G64" s="31"/>
      <c r="H64" s="31"/>
      <c r="I64" s="31"/>
      <c r="J64" s="190"/>
      <c r="K64" s="55"/>
      <c r="L64" s="78"/>
      <c r="M64" s="78"/>
      <c r="N64" s="79"/>
      <c r="O64" s="78"/>
    </row>
    <row r="65" spans="1:15" ht="15" customHeight="1" thickTop="1" thickBot="1" x14ac:dyDescent="0.25">
      <c r="A65" s="262" t="s">
        <v>9</v>
      </c>
      <c r="B65" s="263" t="s">
        <v>10</v>
      </c>
      <c r="C65" s="264" t="s">
        <v>11</v>
      </c>
      <c r="D65" s="264" t="s">
        <v>12</v>
      </c>
      <c r="E65" s="264" t="s">
        <v>4</v>
      </c>
      <c r="F65" s="265" t="s">
        <v>5</v>
      </c>
      <c r="G65" s="31"/>
      <c r="H65" s="31"/>
      <c r="I65" s="31"/>
      <c r="J65" s="190"/>
      <c r="K65" s="55"/>
      <c r="L65" s="78"/>
      <c r="M65" s="78"/>
      <c r="N65" s="79"/>
      <c r="O65" s="78"/>
    </row>
    <row r="66" spans="1:15" ht="15" customHeight="1" thickTop="1" thickBot="1" x14ac:dyDescent="0.25">
      <c r="A66" s="260">
        <v>1</v>
      </c>
      <c r="B66" s="258">
        <v>2</v>
      </c>
      <c r="C66" s="258">
        <v>3</v>
      </c>
      <c r="D66" s="258">
        <v>4</v>
      </c>
      <c r="E66" s="258">
        <v>5</v>
      </c>
      <c r="F66" s="266" t="s">
        <v>96</v>
      </c>
      <c r="G66" s="31"/>
      <c r="H66" s="31"/>
      <c r="I66" s="31"/>
      <c r="J66" s="190"/>
      <c r="K66" s="55"/>
      <c r="L66" s="78"/>
      <c r="M66" s="78"/>
      <c r="N66" s="79"/>
      <c r="O66" s="78"/>
    </row>
    <row r="67" spans="1:15" ht="15" customHeight="1" thickTop="1" x14ac:dyDescent="0.25">
      <c r="A67" s="310" t="s">
        <v>110</v>
      </c>
      <c r="B67" s="308">
        <v>13</v>
      </c>
      <c r="C67" s="489">
        <f>C68+C72</f>
        <v>493943</v>
      </c>
      <c r="D67" s="489">
        <f>D68+D72</f>
        <v>758353</v>
      </c>
      <c r="E67" s="489">
        <f>E68+E72</f>
        <v>606059</v>
      </c>
      <c r="F67" s="490">
        <f>(E67/D67)*100</f>
        <v>79.917795538489329</v>
      </c>
      <c r="G67" s="31"/>
      <c r="H67" s="31"/>
      <c r="I67" s="31"/>
      <c r="J67" s="190"/>
      <c r="K67" s="55"/>
      <c r="L67" s="78"/>
      <c r="M67" s="78"/>
      <c r="N67" s="79"/>
      <c r="O67" s="78"/>
    </row>
    <row r="68" spans="1:15" s="32" customFormat="1" x14ac:dyDescent="0.2">
      <c r="A68" s="296" t="s">
        <v>21</v>
      </c>
      <c r="B68" s="297"/>
      <c r="C68" s="491">
        <f>C69+C70+C71</f>
        <v>214363</v>
      </c>
      <c r="D68" s="491">
        <f t="shared" ref="D68:E68" si="17">D69+D70+D71</f>
        <v>408925</v>
      </c>
      <c r="E68" s="491">
        <f t="shared" si="17"/>
        <v>355415</v>
      </c>
      <c r="F68" s="492">
        <f t="shared" ref="F68:F74" si="18">(E68/D68)*100</f>
        <v>86.914470868741205</v>
      </c>
      <c r="G68" s="252"/>
      <c r="H68" s="252"/>
      <c r="I68" s="252"/>
      <c r="J68" s="190"/>
      <c r="K68" s="249"/>
      <c r="L68" s="53"/>
      <c r="M68" s="53"/>
      <c r="N68" s="54"/>
      <c r="O68" s="53"/>
    </row>
    <row r="69" spans="1:15" ht="15" customHeight="1" x14ac:dyDescent="0.2">
      <c r="A69" s="28" t="s">
        <v>108</v>
      </c>
      <c r="B69" s="295"/>
      <c r="C69" s="30">
        <v>22508</v>
      </c>
      <c r="D69" s="30">
        <v>36854</v>
      </c>
      <c r="E69" s="30">
        <v>35290</v>
      </c>
      <c r="F69" s="492">
        <f t="shared" si="18"/>
        <v>95.756227275194007</v>
      </c>
      <c r="G69" s="31"/>
      <c r="H69" s="31"/>
      <c r="I69" s="31"/>
      <c r="J69" s="190"/>
      <c r="K69" s="55"/>
      <c r="L69" s="78"/>
      <c r="M69" s="78"/>
      <c r="N69" s="79"/>
      <c r="O69" s="78"/>
    </row>
    <row r="70" spans="1:15" ht="15" customHeight="1" x14ac:dyDescent="0.2">
      <c r="A70" s="28" t="s">
        <v>106</v>
      </c>
      <c r="B70" s="295"/>
      <c r="C70" s="30">
        <v>0</v>
      </c>
      <c r="D70" s="30">
        <v>0</v>
      </c>
      <c r="E70" s="30">
        <v>0</v>
      </c>
      <c r="F70" s="492">
        <v>0</v>
      </c>
      <c r="G70" s="31"/>
      <c r="H70" s="31"/>
      <c r="I70" s="31"/>
      <c r="J70" s="190"/>
      <c r="K70" s="55"/>
      <c r="L70" s="78"/>
      <c r="M70" s="78"/>
      <c r="N70" s="79"/>
      <c r="O70" s="78"/>
    </row>
    <row r="71" spans="1:15" ht="15" customHeight="1" x14ac:dyDescent="0.2">
      <c r="A71" s="442" t="s">
        <v>109</v>
      </c>
      <c r="B71" s="295"/>
      <c r="C71" s="30">
        <v>191855</v>
      </c>
      <c r="D71" s="30">
        <v>372071</v>
      </c>
      <c r="E71" s="30">
        <v>320125</v>
      </c>
      <c r="F71" s="492">
        <f t="shared" si="18"/>
        <v>86.038686164737371</v>
      </c>
      <c r="G71" s="31"/>
      <c r="H71" s="31"/>
      <c r="I71" s="31"/>
      <c r="J71" s="190"/>
      <c r="K71" s="55"/>
      <c r="L71" s="78"/>
      <c r="M71" s="78"/>
      <c r="N71" s="79"/>
      <c r="O71" s="78"/>
    </row>
    <row r="72" spans="1:15" ht="17.45" customHeight="1" x14ac:dyDescent="0.2">
      <c r="A72" s="51" t="s">
        <v>22</v>
      </c>
      <c r="B72" s="295"/>
      <c r="C72" s="491">
        <f>C73+C74</f>
        <v>279580</v>
      </c>
      <c r="D72" s="491">
        <f>D73+D74</f>
        <v>349428</v>
      </c>
      <c r="E72" s="491">
        <f>E73+E74</f>
        <v>250644</v>
      </c>
      <c r="F72" s="492">
        <f t="shared" si="18"/>
        <v>71.729798413407053</v>
      </c>
      <c r="G72" s="252"/>
      <c r="H72" s="252"/>
      <c r="I72" s="252"/>
      <c r="J72" s="190"/>
      <c r="K72" s="249"/>
      <c r="L72" s="78"/>
      <c r="M72" s="78"/>
      <c r="N72" s="79"/>
      <c r="O72" s="78"/>
    </row>
    <row r="73" spans="1:15" ht="15" customHeight="1" x14ac:dyDescent="0.2">
      <c r="A73" s="28" t="s">
        <v>108</v>
      </c>
      <c r="B73" s="295"/>
      <c r="C73" s="30">
        <v>274165</v>
      </c>
      <c r="D73" s="30">
        <f>293220-129</f>
        <v>293091</v>
      </c>
      <c r="E73" s="30">
        <f>213631-129</f>
        <v>213502</v>
      </c>
      <c r="F73" s="492">
        <f t="shared" si="18"/>
        <v>72.844952591515948</v>
      </c>
      <c r="G73" s="31"/>
      <c r="H73" s="31"/>
      <c r="I73" s="31"/>
      <c r="J73" s="190"/>
      <c r="K73" s="55"/>
      <c r="L73" s="78"/>
      <c r="M73" s="78"/>
      <c r="N73" s="79"/>
      <c r="O73" s="78"/>
    </row>
    <row r="74" spans="1:15" ht="15" customHeight="1" x14ac:dyDescent="0.2">
      <c r="A74" s="298" t="s">
        <v>106</v>
      </c>
      <c r="B74" s="306"/>
      <c r="C74" s="493">
        <v>5415</v>
      </c>
      <c r="D74" s="493">
        <v>56337</v>
      </c>
      <c r="E74" s="493">
        <v>37142</v>
      </c>
      <c r="F74" s="468">
        <f t="shared" si="18"/>
        <v>65.928253190620737</v>
      </c>
      <c r="G74" s="31"/>
      <c r="H74" s="31"/>
      <c r="I74" s="31"/>
      <c r="J74" s="190"/>
      <c r="K74" s="55"/>
      <c r="L74" s="78"/>
      <c r="M74" s="78"/>
      <c r="N74" s="79"/>
      <c r="O74" s="78"/>
    </row>
    <row r="75" spans="1:15" s="35" customFormat="1" ht="15" x14ac:dyDescent="0.25">
      <c r="A75" s="294" t="s">
        <v>25</v>
      </c>
      <c r="B75" s="295">
        <v>14</v>
      </c>
      <c r="C75" s="494">
        <f>C76+C80</f>
        <v>505067</v>
      </c>
      <c r="D75" s="494">
        <f>D76+D80</f>
        <v>548436</v>
      </c>
      <c r="E75" s="494">
        <f>E76+E80</f>
        <v>359953</v>
      </c>
      <c r="F75" s="490">
        <f t="shared" ref="F75:F106" si="19">(E75/D75)*100</f>
        <v>65.632635348518335</v>
      </c>
      <c r="G75" s="246"/>
      <c r="H75" s="67"/>
      <c r="I75" s="67"/>
      <c r="J75" s="190"/>
      <c r="K75" s="67"/>
      <c r="L75" s="53"/>
      <c r="M75" s="77"/>
      <c r="N75" s="44"/>
      <c r="O75" s="77"/>
    </row>
    <row r="76" spans="1:15" s="32" customFormat="1" x14ac:dyDescent="0.2">
      <c r="A76" s="296" t="s">
        <v>21</v>
      </c>
      <c r="B76" s="297"/>
      <c r="C76" s="491">
        <f>C77+C78+C79</f>
        <v>104031</v>
      </c>
      <c r="D76" s="491">
        <f t="shared" ref="D76:E76" si="20">D77+D78+D79</f>
        <v>109622</v>
      </c>
      <c r="E76" s="491">
        <f t="shared" si="20"/>
        <v>62531</v>
      </c>
      <c r="F76" s="492">
        <f t="shared" si="19"/>
        <v>57.04238200361241</v>
      </c>
      <c r="G76" s="252"/>
      <c r="H76" s="252"/>
      <c r="I76" s="252"/>
      <c r="J76" s="190"/>
      <c r="K76" s="249"/>
      <c r="L76" s="53"/>
      <c r="M76" s="53"/>
      <c r="N76" s="54"/>
      <c r="O76" s="53"/>
    </row>
    <row r="77" spans="1:15" s="32" customFormat="1" x14ac:dyDescent="0.2">
      <c r="A77" s="28" t="s">
        <v>108</v>
      </c>
      <c r="B77" s="297"/>
      <c r="C77" s="30">
        <v>84131</v>
      </c>
      <c r="D77" s="30">
        <v>81612</v>
      </c>
      <c r="E77" s="30">
        <v>38039</v>
      </c>
      <c r="F77" s="492">
        <f>(E77/D77)*100</f>
        <v>46.60956722050679</v>
      </c>
      <c r="G77" s="31"/>
      <c r="H77" s="31"/>
      <c r="I77" s="31"/>
      <c r="J77" s="190"/>
      <c r="K77" s="55"/>
      <c r="L77" s="77"/>
      <c r="M77" s="53"/>
      <c r="N77" s="54"/>
      <c r="O77" s="53"/>
    </row>
    <row r="78" spans="1:15" s="32" customFormat="1" x14ac:dyDescent="0.2">
      <c r="A78" s="28" t="s">
        <v>106</v>
      </c>
      <c r="B78" s="297"/>
      <c r="C78" s="30">
        <v>0</v>
      </c>
      <c r="D78" s="30">
        <v>465</v>
      </c>
      <c r="E78" s="30">
        <v>423</v>
      </c>
      <c r="F78" s="492">
        <f>(E78/D78)*100</f>
        <v>90.967741935483872</v>
      </c>
      <c r="G78" s="31"/>
      <c r="H78" s="31"/>
      <c r="I78" s="31"/>
      <c r="J78" s="190"/>
      <c r="K78" s="55"/>
      <c r="L78" s="53"/>
      <c r="M78" s="53"/>
      <c r="N78" s="54"/>
      <c r="O78" s="53"/>
    </row>
    <row r="79" spans="1:15" s="32" customFormat="1" x14ac:dyDescent="0.2">
      <c r="A79" s="442" t="s">
        <v>109</v>
      </c>
      <c r="B79" s="297"/>
      <c r="C79" s="30">
        <v>19900</v>
      </c>
      <c r="D79" s="30">
        <v>27545</v>
      </c>
      <c r="E79" s="30">
        <v>24069</v>
      </c>
      <c r="F79" s="492">
        <f t="shared" si="19"/>
        <v>87.380649845707026</v>
      </c>
      <c r="G79" s="31"/>
      <c r="H79" s="31"/>
      <c r="I79" s="31"/>
      <c r="J79" s="190"/>
      <c r="K79" s="55"/>
      <c r="L79" s="53"/>
      <c r="M79" s="53"/>
      <c r="N79" s="54"/>
      <c r="O79" s="53"/>
    </row>
    <row r="80" spans="1:15" s="32" customFormat="1" x14ac:dyDescent="0.2">
      <c r="A80" s="51" t="s">
        <v>22</v>
      </c>
      <c r="B80" s="297"/>
      <c r="C80" s="491">
        <f>C81+C82</f>
        <v>401036</v>
      </c>
      <c r="D80" s="491">
        <f t="shared" ref="D80:E80" si="21">D81+D82</f>
        <v>438814</v>
      </c>
      <c r="E80" s="491">
        <f t="shared" si="21"/>
        <v>297422</v>
      </c>
      <c r="F80" s="495">
        <f>(E80/D80)*100</f>
        <v>67.778603235083651</v>
      </c>
      <c r="G80" s="252"/>
      <c r="H80" s="252"/>
      <c r="I80" s="252"/>
      <c r="J80" s="190"/>
      <c r="K80" s="249"/>
      <c r="L80" s="53"/>
      <c r="M80" s="53"/>
      <c r="N80" s="54"/>
      <c r="O80" s="53"/>
    </row>
    <row r="81" spans="1:15" s="32" customFormat="1" x14ac:dyDescent="0.2">
      <c r="A81" s="28" t="s">
        <v>108</v>
      </c>
      <c r="B81" s="297"/>
      <c r="C81" s="30">
        <v>362744</v>
      </c>
      <c r="D81" s="30">
        <v>347602</v>
      </c>
      <c r="E81" s="30">
        <v>247296</v>
      </c>
      <c r="F81" s="495">
        <f t="shared" ref="F81:F83" si="22">(E81/D81)*100</f>
        <v>71.143434157455943</v>
      </c>
      <c r="G81" s="31"/>
      <c r="H81" s="31"/>
      <c r="I81" s="31"/>
      <c r="J81" s="190"/>
      <c r="K81" s="55"/>
      <c r="L81" s="53"/>
      <c r="M81" s="53"/>
      <c r="N81" s="54"/>
      <c r="O81" s="53"/>
    </row>
    <row r="82" spans="1:15" s="32" customFormat="1" x14ac:dyDescent="0.2">
      <c r="A82" s="298" t="s">
        <v>106</v>
      </c>
      <c r="B82" s="299"/>
      <c r="C82" s="493">
        <v>38292</v>
      </c>
      <c r="D82" s="493">
        <v>91212</v>
      </c>
      <c r="E82" s="493">
        <v>50126</v>
      </c>
      <c r="F82" s="496">
        <f t="shared" si="22"/>
        <v>54.955488312941284</v>
      </c>
      <c r="G82" s="31"/>
      <c r="H82" s="31"/>
      <c r="I82" s="31"/>
      <c r="J82" s="31"/>
      <c r="K82" s="55"/>
      <c r="L82" s="53"/>
      <c r="M82" s="53"/>
      <c r="N82" s="54"/>
      <c r="O82" s="53"/>
    </row>
    <row r="83" spans="1:15" s="35" customFormat="1" ht="15" x14ac:dyDescent="0.25">
      <c r="A83" s="305" t="s">
        <v>152</v>
      </c>
      <c r="B83" s="478">
        <v>15</v>
      </c>
      <c r="C83" s="497">
        <v>0</v>
      </c>
      <c r="D83" s="497">
        <v>529</v>
      </c>
      <c r="E83" s="497">
        <v>31</v>
      </c>
      <c r="F83" s="469">
        <f t="shared" si="22"/>
        <v>5.8601134215500945</v>
      </c>
      <c r="G83" s="246"/>
      <c r="H83" s="67"/>
      <c r="I83" s="67"/>
      <c r="J83" s="190"/>
      <c r="K83" s="67"/>
      <c r="L83" s="53"/>
      <c r="M83" s="77"/>
      <c r="N83" s="44"/>
      <c r="O83" s="77"/>
    </row>
    <row r="84" spans="1:15" s="35" customFormat="1" ht="15" x14ac:dyDescent="0.25">
      <c r="A84" s="294" t="s">
        <v>26</v>
      </c>
      <c r="B84" s="295">
        <v>16</v>
      </c>
      <c r="C84" s="494">
        <v>0</v>
      </c>
      <c r="D84" s="494">
        <v>0</v>
      </c>
      <c r="E84" s="494">
        <v>0</v>
      </c>
      <c r="F84" s="490">
        <v>0</v>
      </c>
      <c r="G84" s="27"/>
      <c r="H84" s="31"/>
      <c r="I84" s="31"/>
      <c r="J84" s="31"/>
      <c r="K84" s="67"/>
      <c r="L84" s="77"/>
      <c r="M84" s="77"/>
      <c r="N84" s="44"/>
      <c r="O84" s="77"/>
    </row>
    <row r="85" spans="1:15" s="35" customFormat="1" ht="15" x14ac:dyDescent="0.25">
      <c r="A85" s="300" t="s">
        <v>99</v>
      </c>
      <c r="B85" s="301">
        <v>17</v>
      </c>
      <c r="C85" s="489">
        <f>C86+C87</f>
        <v>615238</v>
      </c>
      <c r="D85" s="489">
        <f t="shared" ref="D85:E85" si="23">D86+D87</f>
        <v>629234</v>
      </c>
      <c r="E85" s="489">
        <f t="shared" si="23"/>
        <v>137069</v>
      </c>
      <c r="F85" s="498">
        <f t="shared" si="19"/>
        <v>21.783470060422673</v>
      </c>
      <c r="G85" s="246"/>
      <c r="H85" s="27"/>
      <c r="I85" s="27"/>
      <c r="J85" s="190"/>
      <c r="K85" s="67"/>
      <c r="L85" s="77"/>
      <c r="M85" s="77"/>
      <c r="N85" s="44"/>
      <c r="O85" s="77"/>
    </row>
    <row r="86" spans="1:15" s="35" customFormat="1" x14ac:dyDescent="0.2">
      <c r="A86" s="28" t="s">
        <v>108</v>
      </c>
      <c r="B86" s="37"/>
      <c r="C86" s="30">
        <v>53161</v>
      </c>
      <c r="D86" s="30">
        <v>68271</v>
      </c>
      <c r="E86" s="30">
        <v>28226</v>
      </c>
      <c r="F86" s="492">
        <f t="shared" si="19"/>
        <v>41.344055308989176</v>
      </c>
      <c r="G86" s="31"/>
      <c r="H86" s="31"/>
      <c r="I86" s="31"/>
      <c r="J86" s="190"/>
      <c r="K86" s="55"/>
      <c r="L86" s="77"/>
      <c r="M86" s="253"/>
      <c r="N86" s="44"/>
      <c r="O86" s="77"/>
    </row>
    <row r="87" spans="1:15" s="35" customFormat="1" x14ac:dyDescent="0.2">
      <c r="A87" s="298" t="s">
        <v>106</v>
      </c>
      <c r="B87" s="302"/>
      <c r="C87" s="493">
        <v>562077</v>
      </c>
      <c r="D87" s="493">
        <v>560963</v>
      </c>
      <c r="E87" s="493">
        <v>108843</v>
      </c>
      <c r="F87" s="468">
        <f t="shared" si="19"/>
        <v>19.402883969174436</v>
      </c>
      <c r="G87" s="31"/>
      <c r="H87" s="31"/>
      <c r="I87" s="31"/>
      <c r="J87" s="190"/>
      <c r="K87" s="55"/>
      <c r="L87" s="77"/>
      <c r="M87" s="254"/>
      <c r="N87" s="44"/>
      <c r="O87" s="77"/>
    </row>
    <row r="88" spans="1:15" s="35" customFormat="1" ht="15" x14ac:dyDescent="0.25">
      <c r="A88" s="303" t="s">
        <v>100</v>
      </c>
      <c r="B88" s="304">
        <v>18</v>
      </c>
      <c r="C88" s="494">
        <f>C89+C90+C91</f>
        <v>124544</v>
      </c>
      <c r="D88" s="494">
        <f t="shared" ref="D88:E88" si="24">D89+D90+D91</f>
        <v>394267</v>
      </c>
      <c r="E88" s="494">
        <f t="shared" si="24"/>
        <v>104752</v>
      </c>
      <c r="F88" s="490">
        <f t="shared" si="19"/>
        <v>26.568797287117611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108</v>
      </c>
      <c r="B89" s="37"/>
      <c r="C89" s="30">
        <v>64454</v>
      </c>
      <c r="D89" s="30">
        <v>305852</v>
      </c>
      <c r="E89" s="30">
        <v>36245</v>
      </c>
      <c r="F89" s="492">
        <f>(E89/D89)*100</f>
        <v>11.850502857591254</v>
      </c>
      <c r="G89" s="31"/>
      <c r="H89" s="31"/>
      <c r="I89" s="31"/>
      <c r="J89" s="190"/>
      <c r="K89" s="55"/>
      <c r="L89" s="77"/>
      <c r="M89" s="253"/>
      <c r="N89" s="44"/>
      <c r="O89" s="77"/>
    </row>
    <row r="90" spans="1:15" s="35" customFormat="1" x14ac:dyDescent="0.2">
      <c r="A90" s="28" t="s">
        <v>106</v>
      </c>
      <c r="B90" s="37"/>
      <c r="C90" s="30">
        <v>28000</v>
      </c>
      <c r="D90" s="30">
        <v>39000</v>
      </c>
      <c r="E90" s="30">
        <v>28000</v>
      </c>
      <c r="F90" s="492">
        <f>(E90/D90)*100</f>
        <v>71.794871794871796</v>
      </c>
      <c r="G90" s="31"/>
      <c r="H90" s="31"/>
      <c r="I90" s="31"/>
      <c r="J90" s="54"/>
      <c r="K90" s="55"/>
      <c r="L90" s="77"/>
      <c r="M90" s="254"/>
      <c r="N90" s="44"/>
      <c r="O90" s="77"/>
    </row>
    <row r="91" spans="1:15" s="35" customFormat="1" x14ac:dyDescent="0.2">
      <c r="A91" s="441" t="s">
        <v>109</v>
      </c>
      <c r="B91" s="299"/>
      <c r="C91" s="493">
        <v>32090</v>
      </c>
      <c r="D91" s="493">
        <v>49415</v>
      </c>
      <c r="E91" s="493">
        <v>40507</v>
      </c>
      <c r="F91" s="468">
        <f>(E91/D91)*100</f>
        <v>81.973085095618742</v>
      </c>
      <c r="G91" s="31"/>
      <c r="H91" s="31"/>
      <c r="I91" s="31"/>
      <c r="J91" s="31"/>
      <c r="K91" s="55"/>
      <c r="L91" s="77"/>
      <c r="M91" s="46"/>
      <c r="N91" s="44"/>
      <c r="O91" s="77"/>
    </row>
    <row r="92" spans="1:15" s="35" customFormat="1" ht="15" x14ac:dyDescent="0.25">
      <c r="A92" s="305" t="s">
        <v>90</v>
      </c>
      <c r="B92" s="306">
        <v>20</v>
      </c>
      <c r="C92" s="499">
        <v>577</v>
      </c>
      <c r="D92" s="499">
        <v>577</v>
      </c>
      <c r="E92" s="499">
        <v>64</v>
      </c>
      <c r="F92" s="469">
        <f t="shared" si="19"/>
        <v>11.091854419410744</v>
      </c>
      <c r="G92" s="31"/>
      <c r="H92" s="31"/>
      <c r="I92" s="31"/>
      <c r="J92" s="44"/>
      <c r="K92" s="55"/>
      <c r="L92" s="77"/>
      <c r="M92" s="46"/>
      <c r="N92" s="44"/>
      <c r="O92" s="77"/>
    </row>
    <row r="93" spans="1:15" s="35" customFormat="1" ht="15" x14ac:dyDescent="0.25">
      <c r="A93" s="294" t="s">
        <v>27</v>
      </c>
      <c r="B93" s="295" t="s">
        <v>125</v>
      </c>
      <c r="C93" s="494">
        <f>SUM(C94:C96)</f>
        <v>1079983</v>
      </c>
      <c r="D93" s="494">
        <f t="shared" ref="D93:E93" si="25">SUM(D94:D96)</f>
        <v>1525491</v>
      </c>
      <c r="E93" s="494">
        <f t="shared" si="25"/>
        <v>790081</v>
      </c>
      <c r="F93" s="490">
        <f t="shared" si="19"/>
        <v>51.791914865443324</v>
      </c>
      <c r="G93" s="27"/>
      <c r="H93" s="27"/>
      <c r="I93" s="27"/>
      <c r="J93" s="190"/>
      <c r="K93" s="67"/>
      <c r="L93" s="77"/>
      <c r="M93" s="77"/>
      <c r="N93" s="44"/>
      <c r="O93" s="77"/>
    </row>
    <row r="94" spans="1:15" s="35" customFormat="1" x14ac:dyDescent="0.2">
      <c r="A94" s="28" t="s">
        <v>108</v>
      </c>
      <c r="B94" s="295"/>
      <c r="C94" s="30">
        <f>75184-C96</f>
        <v>75184</v>
      </c>
      <c r="D94" s="30">
        <f>264626-D96</f>
        <v>264626</v>
      </c>
      <c r="E94" s="30">
        <f>547322-E96</f>
        <v>146104</v>
      </c>
      <c r="F94" s="492">
        <f t="shared" si="19"/>
        <v>55.211506050047987</v>
      </c>
      <c r="G94" s="31"/>
      <c r="H94" s="31"/>
      <c r="I94" s="31"/>
      <c r="J94" s="190"/>
      <c r="K94" s="55"/>
      <c r="L94" s="77"/>
      <c r="M94" s="77"/>
      <c r="N94" s="44"/>
      <c r="O94" s="77"/>
    </row>
    <row r="95" spans="1:15" s="35" customFormat="1" x14ac:dyDescent="0.2">
      <c r="A95" s="28" t="s">
        <v>106</v>
      </c>
      <c r="B95" s="295"/>
      <c r="C95" s="30">
        <v>1004799</v>
      </c>
      <c r="D95" s="30">
        <v>1260865</v>
      </c>
      <c r="E95" s="30">
        <v>242759</v>
      </c>
      <c r="F95" s="492">
        <f t="shared" si="19"/>
        <v>19.253369710476537</v>
      </c>
      <c r="G95" s="31"/>
      <c r="H95" s="31"/>
      <c r="I95" s="31"/>
      <c r="J95" s="190"/>
      <c r="K95" s="55"/>
      <c r="L95" s="77"/>
      <c r="M95" s="77"/>
      <c r="N95" s="44"/>
      <c r="O95" s="77"/>
    </row>
    <row r="96" spans="1:15" s="35" customFormat="1" x14ac:dyDescent="0.2">
      <c r="A96" s="442" t="s">
        <v>107</v>
      </c>
      <c r="B96" s="295"/>
      <c r="C96" s="30">
        <v>0</v>
      </c>
      <c r="D96" s="30">
        <v>0</v>
      </c>
      <c r="E96" s="30">
        <v>401218</v>
      </c>
      <c r="F96" s="468">
        <v>0</v>
      </c>
      <c r="G96" s="31"/>
      <c r="H96" s="31"/>
      <c r="I96" s="31"/>
      <c r="J96" s="190"/>
      <c r="K96" s="55"/>
      <c r="L96" s="77"/>
      <c r="M96" s="77"/>
      <c r="N96" s="44"/>
      <c r="O96" s="77"/>
    </row>
    <row r="97" spans="1:15" s="35" customFormat="1" ht="15" x14ac:dyDescent="0.25">
      <c r="A97" s="307" t="s">
        <v>151</v>
      </c>
      <c r="B97" s="308">
        <v>98</v>
      </c>
      <c r="C97" s="489">
        <f>C98</f>
        <v>15000</v>
      </c>
      <c r="D97" s="489">
        <f t="shared" ref="D97:E97" si="26">D98</f>
        <v>60013</v>
      </c>
      <c r="E97" s="489">
        <f t="shared" si="26"/>
        <v>47360</v>
      </c>
      <c r="F97" s="490">
        <f t="shared" ref="F97:F98" si="27">(E97/D97)*100</f>
        <v>78.916234815789906</v>
      </c>
      <c r="G97" s="31"/>
      <c r="H97" s="31"/>
      <c r="I97" s="31"/>
      <c r="J97" s="54"/>
      <c r="K97" s="67"/>
      <c r="L97" s="77"/>
      <c r="M97" s="77"/>
      <c r="N97" s="44"/>
      <c r="O97" s="77"/>
    </row>
    <row r="98" spans="1:15" s="35" customFormat="1" x14ac:dyDescent="0.2">
      <c r="A98" s="28" t="s">
        <v>108</v>
      </c>
      <c r="B98" s="295"/>
      <c r="C98" s="493">
        <v>15000</v>
      </c>
      <c r="D98" s="493">
        <v>60013</v>
      </c>
      <c r="E98" s="493">
        <v>47360</v>
      </c>
      <c r="F98" s="468">
        <f t="shared" si="27"/>
        <v>78.916234815789906</v>
      </c>
      <c r="G98" s="31"/>
      <c r="H98" s="31"/>
      <c r="I98" s="31"/>
      <c r="J98" s="54"/>
      <c r="K98" s="55"/>
      <c r="L98" s="77"/>
      <c r="M98" s="77"/>
      <c r="N98" s="44"/>
      <c r="O98" s="77"/>
    </row>
    <row r="99" spans="1:15" s="35" customFormat="1" ht="15" x14ac:dyDescent="0.25">
      <c r="A99" s="307" t="s">
        <v>44</v>
      </c>
      <c r="B99" s="308">
        <v>99</v>
      </c>
      <c r="C99" s="489">
        <f>+C102+C100+C101</f>
        <v>34300</v>
      </c>
      <c r="D99" s="489">
        <f t="shared" ref="D99:E99" si="28">+D102+D100+D101</f>
        <v>62016</v>
      </c>
      <c r="E99" s="489">
        <f t="shared" si="28"/>
        <v>41733</v>
      </c>
      <c r="F99" s="490">
        <f t="shared" si="19"/>
        <v>67.293924148606806</v>
      </c>
      <c r="G99" s="31"/>
      <c r="H99" s="31"/>
      <c r="I99" s="31"/>
      <c r="J99" s="190"/>
      <c r="K99" s="67"/>
      <c r="L99" s="77"/>
      <c r="M99" s="77"/>
      <c r="N99" s="44"/>
      <c r="O99" s="77"/>
    </row>
    <row r="100" spans="1:15" s="35" customFormat="1" x14ac:dyDescent="0.2">
      <c r="A100" s="28" t="s">
        <v>108</v>
      </c>
      <c r="B100" s="295"/>
      <c r="C100" s="30">
        <v>0</v>
      </c>
      <c r="D100" s="30">
        <v>650</v>
      </c>
      <c r="E100" s="30">
        <v>650</v>
      </c>
      <c r="F100" s="492">
        <f>(E100/D100)*100</f>
        <v>100</v>
      </c>
      <c r="G100" s="31"/>
      <c r="H100" s="31"/>
      <c r="I100" s="31"/>
      <c r="J100" s="190"/>
      <c r="K100" s="55"/>
      <c r="L100" s="77"/>
      <c r="M100" s="77"/>
      <c r="N100" s="44"/>
      <c r="O100" s="77"/>
    </row>
    <row r="101" spans="1:15" s="35" customFormat="1" x14ac:dyDescent="0.2">
      <c r="A101" s="28" t="s">
        <v>106</v>
      </c>
      <c r="B101" s="295"/>
      <c r="C101" s="30">
        <v>0</v>
      </c>
      <c r="D101" s="30">
        <v>0</v>
      </c>
      <c r="E101" s="30">
        <v>0</v>
      </c>
      <c r="F101" s="492">
        <v>0</v>
      </c>
      <c r="G101" s="31"/>
      <c r="H101" s="31"/>
      <c r="I101" s="31"/>
      <c r="J101" s="190"/>
      <c r="K101" s="55"/>
      <c r="L101" s="77"/>
      <c r="M101" s="255"/>
      <c r="N101" s="44"/>
      <c r="O101" s="77"/>
    </row>
    <row r="102" spans="1:15" s="35" customFormat="1" x14ac:dyDescent="0.2">
      <c r="A102" s="441" t="s">
        <v>109</v>
      </c>
      <c r="B102" s="306"/>
      <c r="C102" s="493">
        <v>34300</v>
      </c>
      <c r="D102" s="493">
        <v>61366</v>
      </c>
      <c r="E102" s="493">
        <v>41083</v>
      </c>
      <c r="F102" s="468">
        <f t="shared" si="19"/>
        <v>66.947495355734446</v>
      </c>
      <c r="G102" s="31"/>
      <c r="H102" s="31"/>
      <c r="I102" s="31"/>
      <c r="J102" s="190"/>
      <c r="K102" s="55"/>
      <c r="L102" s="77"/>
      <c r="M102" s="255"/>
      <c r="N102" s="44"/>
      <c r="O102" s="77"/>
    </row>
    <row r="103" spans="1:15" s="35" customFormat="1" ht="15" x14ac:dyDescent="0.25">
      <c r="A103" s="309" t="s">
        <v>28</v>
      </c>
      <c r="B103" s="295">
        <v>199</v>
      </c>
      <c r="C103" s="494">
        <f>C104</f>
        <v>13417</v>
      </c>
      <c r="D103" s="494">
        <f>D104</f>
        <v>21190</v>
      </c>
      <c r="E103" s="494">
        <f>E104</f>
        <v>9000</v>
      </c>
      <c r="F103" s="490">
        <f t="shared" si="19"/>
        <v>42.472864558754132</v>
      </c>
      <c r="G103" s="31"/>
      <c r="H103" s="31"/>
      <c r="I103" s="31"/>
      <c r="J103" s="190"/>
      <c r="K103" s="67"/>
      <c r="L103" s="43"/>
      <c r="M103" s="77"/>
      <c r="N103" s="44"/>
      <c r="O103" s="77"/>
    </row>
    <row r="104" spans="1:15" s="35" customFormat="1" x14ac:dyDescent="0.2">
      <c r="A104" s="28" t="s">
        <v>108</v>
      </c>
      <c r="B104" s="295"/>
      <c r="C104" s="30">
        <v>13417</v>
      </c>
      <c r="D104" s="30">
        <v>21190</v>
      </c>
      <c r="E104" s="30">
        <v>9000</v>
      </c>
      <c r="F104" s="492">
        <f t="shared" si="19"/>
        <v>42.472864558754132</v>
      </c>
      <c r="G104" s="31"/>
      <c r="H104" s="31"/>
      <c r="I104" s="31"/>
      <c r="J104" s="190"/>
      <c r="K104" s="55"/>
      <c r="L104" s="43"/>
      <c r="M104" s="44"/>
      <c r="N104" s="44"/>
      <c r="O104" s="77"/>
    </row>
    <row r="105" spans="1:15" s="35" customFormat="1" x14ac:dyDescent="0.2">
      <c r="A105" s="28" t="s">
        <v>106</v>
      </c>
      <c r="B105" s="306"/>
      <c r="C105" s="493">
        <v>0</v>
      </c>
      <c r="D105" s="493">
        <v>0</v>
      </c>
      <c r="E105" s="493">
        <v>0</v>
      </c>
      <c r="F105" s="492">
        <v>0</v>
      </c>
      <c r="G105" s="31"/>
      <c r="H105" s="31"/>
      <c r="I105" s="31"/>
      <c r="J105" s="190"/>
      <c r="K105" s="55"/>
      <c r="L105" s="43"/>
      <c r="M105" s="44"/>
      <c r="N105" s="44"/>
      <c r="O105" s="77"/>
    </row>
    <row r="106" spans="1:15" ht="21.75" customHeight="1" x14ac:dyDescent="0.25">
      <c r="A106" s="525" t="s">
        <v>29</v>
      </c>
      <c r="B106" s="526"/>
      <c r="C106" s="82">
        <f>C6+C14+C17+C23+C28+C32+C36+C47+C55+C75+C84+C85+C93+C99+C103+C88+C92+C67+C20+C10+C97+C83</f>
        <v>8477670</v>
      </c>
      <c r="D106" s="82">
        <f>D6+D14+D17+D23+D28+D32+D36+D47+D55+D75+D84+D85+D93+D99+D103+D88+D92+D67+D20+D10+D97+D83</f>
        <v>25426762</v>
      </c>
      <c r="E106" s="82">
        <f>E6+E14+E17+E23+E28+E32+E36+E47+E55+E75+E84+E85+E93+E99+E103+E88+E92+E67+E20+E10+E97+E83</f>
        <v>36124145</v>
      </c>
      <c r="F106" s="469">
        <f t="shared" si="19"/>
        <v>142.07135379644487</v>
      </c>
      <c r="G106" s="122"/>
      <c r="H106" s="85"/>
      <c r="I106" s="85"/>
      <c r="J106" s="85"/>
      <c r="K106" s="108"/>
      <c r="L106" s="43"/>
      <c r="M106" s="78"/>
      <c r="N106" s="79"/>
      <c r="O106" s="78"/>
    </row>
    <row r="107" spans="1:15" ht="21" customHeight="1" x14ac:dyDescent="0.2">
      <c r="A107" s="443" t="s">
        <v>111</v>
      </c>
      <c r="B107" s="444"/>
      <c r="C107" s="30">
        <f>C96+C27+C9+C13</f>
        <v>13236</v>
      </c>
      <c r="D107" s="30">
        <f>D96+D27+D9+D13</f>
        <v>13405</v>
      </c>
      <c r="E107" s="30">
        <f>E96+E27+E9+E13</f>
        <v>19098718</v>
      </c>
      <c r="F107" s="468">
        <f>(E107/D107)*100</f>
        <v>142474.58411040658</v>
      </c>
      <c r="G107" s="31"/>
      <c r="H107" s="84"/>
      <c r="I107" s="84"/>
      <c r="J107" s="84"/>
      <c r="K107" s="68"/>
      <c r="L107" s="43"/>
      <c r="M107" s="78"/>
      <c r="N107" s="79"/>
      <c r="O107" s="78"/>
    </row>
    <row r="108" spans="1:15" ht="32.25" thickBot="1" x14ac:dyDescent="0.3">
      <c r="A108" s="123" t="s">
        <v>30</v>
      </c>
      <c r="B108" s="124"/>
      <c r="C108" s="81">
        <f>C106-C107</f>
        <v>8464434</v>
      </c>
      <c r="D108" s="81">
        <f>D106-D107</f>
        <v>25413357</v>
      </c>
      <c r="E108" s="81">
        <f>E106-E107</f>
        <v>17025427</v>
      </c>
      <c r="F108" s="470">
        <f>(E108/D108)*100</f>
        <v>66.994010275777413</v>
      </c>
      <c r="G108" s="122"/>
      <c r="H108" s="27"/>
      <c r="I108" s="27"/>
      <c r="J108" s="75"/>
      <c r="K108" s="72"/>
      <c r="L108" s="41"/>
      <c r="M108" s="78"/>
      <c r="N108" s="79"/>
      <c r="O108" s="78"/>
    </row>
    <row r="109" spans="1:15" ht="18.75" customHeight="1" thickTop="1" x14ac:dyDescent="0.25">
      <c r="A109" s="521" t="s">
        <v>124</v>
      </c>
      <c r="B109" s="521"/>
      <c r="C109" s="521"/>
      <c r="D109" s="521"/>
      <c r="E109" s="521"/>
      <c r="G109" s="27"/>
      <c r="H109" s="27"/>
      <c r="I109" s="27"/>
      <c r="J109" s="75"/>
      <c r="K109" s="72"/>
      <c r="L109" s="41"/>
      <c r="M109" s="78"/>
      <c r="N109" s="79"/>
      <c r="O109" s="78"/>
    </row>
    <row r="110" spans="1:15" x14ac:dyDescent="0.2">
      <c r="A110" s="521"/>
      <c r="B110" s="521"/>
      <c r="C110" s="521"/>
      <c r="D110" s="521"/>
      <c r="E110" s="521"/>
      <c r="F110" s="57"/>
      <c r="G110" s="57"/>
      <c r="H110" s="57"/>
      <c r="I110" s="57"/>
      <c r="J110" s="52"/>
      <c r="L110" s="56"/>
    </row>
    <row r="111" spans="1:15" x14ac:dyDescent="0.2">
      <c r="J111" s="52"/>
    </row>
    <row r="112" spans="1:15" x14ac:dyDescent="0.2">
      <c r="J112" s="52"/>
    </row>
    <row r="113" spans="1:14" x14ac:dyDescent="0.2">
      <c r="J113" s="52"/>
    </row>
    <row r="114" spans="1:14" ht="15" thickBot="1" x14ac:dyDescent="0.25">
      <c r="A114" s="219" t="s">
        <v>93</v>
      </c>
      <c r="F114" s="288" t="s">
        <v>0</v>
      </c>
      <c r="J114" s="52"/>
    </row>
    <row r="115" spans="1:14" ht="25.5" customHeight="1" thickTop="1" thickBot="1" x14ac:dyDescent="0.25">
      <c r="A115" s="534" t="s">
        <v>91</v>
      </c>
      <c r="B115" s="535"/>
      <c r="C115" s="267" t="s">
        <v>11</v>
      </c>
      <c r="D115" s="267" t="s">
        <v>12</v>
      </c>
      <c r="E115" s="267" t="s">
        <v>4</v>
      </c>
      <c r="F115" s="268" t="s">
        <v>5</v>
      </c>
      <c r="J115" s="52"/>
    </row>
    <row r="116" spans="1:14" ht="15.75" thickTop="1" thickBot="1" x14ac:dyDescent="0.25">
      <c r="A116" s="534">
        <v>1</v>
      </c>
      <c r="B116" s="535"/>
      <c r="C116" s="267">
        <v>2</v>
      </c>
      <c r="D116" s="267">
        <v>3</v>
      </c>
      <c r="E116" s="267">
        <v>4</v>
      </c>
      <c r="F116" s="266" t="s">
        <v>95</v>
      </c>
      <c r="J116" s="52"/>
      <c r="K116" s="17"/>
      <c r="N116" s="17"/>
    </row>
    <row r="117" spans="1:14" ht="15" thickTop="1" x14ac:dyDescent="0.2">
      <c r="A117" s="536" t="s">
        <v>112</v>
      </c>
      <c r="B117" s="537"/>
      <c r="C117" s="292">
        <f>C104+C100+C94+C89+C86+C81+C77+C69+C61+C57+C53+C49+C45+C42+C38+C33+C29+C24+C21+C18+C15+C7+C92+C84+C11+C73+C98+C83+474294</f>
        <v>6364336</v>
      </c>
      <c r="D117" s="292">
        <f>D104+D100+D94+D89+D86+D81+D77+D69+D61+D57+D53+D49+D45+D42+D38+D33+D29+D24+D21+D18+D15+D7+D92+D84+D11+D73+D98+D83+521067</f>
        <v>21869559</v>
      </c>
      <c r="E117" s="292">
        <f>E104+E100+E94+E89+E86+E81+E77+E69+E61+E57+E53+E49+E45+E42+E38+E33+E29+E24+E21+E18+E15+E7+E92+E84+E11+E73+E98+E83+321180</f>
        <v>15601911</v>
      </c>
      <c r="F117" s="293">
        <f>E117/D117*100</f>
        <v>71.340766405029015</v>
      </c>
      <c r="J117" s="52"/>
      <c r="K117" s="17"/>
      <c r="N117" s="17"/>
    </row>
    <row r="118" spans="1:14" ht="12" customHeight="1" x14ac:dyDescent="0.2">
      <c r="A118" s="538" t="s">
        <v>113</v>
      </c>
      <c r="B118" s="539"/>
      <c r="C118" s="236">
        <f>C105+C101+C90+C87+C82+C78+C70+C62+C58+C54+C50+C46+C43+C39+C34+C30+C25+C22+C19+C16+C8+C95+C12+C74+121550</f>
        <v>2100098</v>
      </c>
      <c r="D118" s="236">
        <f>D105+D101+D90+D87+D82+D78+D70+D62+D58+D54+D50+D46+D43+D39+D34+D30+D25+D22+D19+D16+D8+D95+D12+D74+397450</f>
        <v>3543798</v>
      </c>
      <c r="E118" s="236">
        <f>E105+E101+E90+E87+E82+E78+E70+E62+E58+E54+E50+E46+E43+E39+E34+E30+E25+E22+E19+E16+E8+E95+E12+E74+316831</f>
        <v>1423516</v>
      </c>
      <c r="F118" s="237">
        <f>E118/D118*100</f>
        <v>40.169219577413841</v>
      </c>
      <c r="J118" s="52"/>
      <c r="K118" s="17"/>
      <c r="N118" s="17"/>
    </row>
    <row r="119" spans="1:14" hidden="1" x14ac:dyDescent="0.2">
      <c r="A119" s="540" t="s">
        <v>109</v>
      </c>
      <c r="B119" s="541"/>
      <c r="C119" s="325"/>
      <c r="D119" s="325"/>
      <c r="E119" s="325"/>
      <c r="F119" s="326" t="e">
        <f>E119/D119*100</f>
        <v>#DIV/0!</v>
      </c>
      <c r="J119" s="52"/>
      <c r="K119" s="17"/>
      <c r="N119" s="17"/>
    </row>
    <row r="120" spans="1:14" ht="15" thickBot="1" x14ac:dyDescent="0.25">
      <c r="A120" s="530" t="s">
        <v>111</v>
      </c>
      <c r="B120" s="531"/>
      <c r="C120" s="319">
        <f>C107</f>
        <v>13236</v>
      </c>
      <c r="D120" s="319">
        <f>D107</f>
        <v>13405</v>
      </c>
      <c r="E120" s="319">
        <f>E107</f>
        <v>19098718</v>
      </c>
      <c r="F120" s="320">
        <f>(E120/D120)*100</f>
        <v>142474.58411040658</v>
      </c>
      <c r="J120" s="52"/>
      <c r="K120" s="17"/>
      <c r="N120" s="17"/>
    </row>
    <row r="121" spans="1:14" ht="15" customHeight="1" thickTop="1" x14ac:dyDescent="0.2">
      <c r="A121" s="532" t="s">
        <v>122</v>
      </c>
      <c r="B121" s="533"/>
      <c r="C121" s="462">
        <f>C117+C118+C119+C120</f>
        <v>8477670</v>
      </c>
      <c r="D121" s="462">
        <f t="shared" ref="D121:E121" si="29">D117+D118+D119+D120</f>
        <v>25426762</v>
      </c>
      <c r="E121" s="462">
        <f t="shared" si="29"/>
        <v>36124145</v>
      </c>
      <c r="F121" s="463">
        <f>(E121/D121)*100</f>
        <v>142.07135379644487</v>
      </c>
      <c r="J121" s="52"/>
      <c r="K121" s="17"/>
      <c r="N121" s="17"/>
    </row>
    <row r="122" spans="1:14" x14ac:dyDescent="0.2">
      <c r="A122" s="523" t="s">
        <v>111</v>
      </c>
      <c r="B122" s="524"/>
      <c r="C122" s="506">
        <f>C120</f>
        <v>13236</v>
      </c>
      <c r="D122" s="506">
        <f t="shared" ref="D122" si="30">D120</f>
        <v>13405</v>
      </c>
      <c r="E122" s="506">
        <f>E120</f>
        <v>19098718</v>
      </c>
      <c r="F122" s="507">
        <f>(E122/D122)*100</f>
        <v>142474.58411040658</v>
      </c>
      <c r="H122" s="56"/>
      <c r="I122" s="56"/>
      <c r="J122" s="56"/>
      <c r="K122" s="17"/>
      <c r="N122" s="17"/>
    </row>
    <row r="123" spans="1:14" ht="15.75" thickBot="1" x14ac:dyDescent="0.3">
      <c r="A123" s="316" t="s">
        <v>123</v>
      </c>
      <c r="B123" s="317"/>
      <c r="C123" s="318">
        <f>C121-C122</f>
        <v>8464434</v>
      </c>
      <c r="D123" s="318">
        <f>D121-D122</f>
        <v>25413357</v>
      </c>
      <c r="E123" s="318">
        <f>E121-E122</f>
        <v>17025427</v>
      </c>
      <c r="F123" s="315">
        <f>(E123/D123)*100</f>
        <v>66.994010275777413</v>
      </c>
      <c r="H123" s="86"/>
      <c r="I123" s="86"/>
      <c r="J123" s="86"/>
      <c r="K123" s="17"/>
      <c r="N123" s="17"/>
    </row>
    <row r="124" spans="1:14" ht="15" thickTop="1" x14ac:dyDescent="0.2"/>
  </sheetData>
  <mergeCells count="12">
    <mergeCell ref="A122:B122"/>
    <mergeCell ref="A106:B106"/>
    <mergeCell ref="A1:F1"/>
    <mergeCell ref="A2:F2"/>
    <mergeCell ref="A120:B120"/>
    <mergeCell ref="A121:B121"/>
    <mergeCell ref="A109:E110"/>
    <mergeCell ref="A115:B115"/>
    <mergeCell ref="A116:B116"/>
    <mergeCell ref="A117:B117"/>
    <mergeCell ref="A118:B118"/>
    <mergeCell ref="A119:B119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5" orientation="portrait" useFirstPageNumber="1" r:id="rId1"/>
  <headerFooter alignWithMargins="0">
    <oddFooter xml:space="preserve">&amp;L&amp;"Arial,Kurzíva"Zastupitelstvo Olomouckého kraje 16. 12. 2024
9.2. - Rozpočet Olomouckého kraje 2024 - plnění rozpočtu k 30. 9. 2024
Příloha č.2 - Plnění rozpočtu Olomouckého kraje k 30. 9. 2024&amp;R&amp;"Arial,Kurzíva"Strana &amp;P (Celkem 9)
</oddFooter>
  </headerFooter>
  <rowBreaks count="1" manualBreakCount="1">
    <brk id="63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G30"/>
  <sheetViews>
    <sheetView showGridLines="0" view="pageBreakPreview" zoomScale="110" zoomScaleNormal="100" zoomScaleSheetLayoutView="110" workbookViewId="0">
      <selection activeCell="C11" sqref="C11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7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22" t="s">
        <v>155</v>
      </c>
      <c r="B1" s="522"/>
      <c r="C1" s="522"/>
      <c r="D1" s="522"/>
      <c r="E1" s="522"/>
    </row>
    <row r="3" spans="1:7" x14ac:dyDescent="0.2">
      <c r="A3" s="517" t="s">
        <v>97</v>
      </c>
      <c r="B3" s="517"/>
      <c r="C3" s="517"/>
      <c r="D3" s="517"/>
      <c r="E3" s="517"/>
    </row>
    <row r="4" spans="1:7" ht="30.75" customHeight="1" x14ac:dyDescent="0.2">
      <c r="A4" s="517"/>
      <c r="B4" s="517"/>
      <c r="C4" s="517"/>
      <c r="D4" s="517"/>
      <c r="E4" s="517"/>
    </row>
    <row r="6" spans="1:7" ht="13.5" thickBot="1" x14ac:dyDescent="0.25">
      <c r="B6" s="9"/>
      <c r="C6" s="171"/>
      <c r="D6" s="167"/>
      <c r="E6" s="2" t="s">
        <v>0</v>
      </c>
    </row>
    <row r="7" spans="1:7" ht="14.25" thickTop="1" thickBot="1" x14ac:dyDescent="0.25">
      <c r="A7" s="262" t="s">
        <v>88</v>
      </c>
      <c r="B7" s="263" t="s">
        <v>11</v>
      </c>
      <c r="C7" s="264" t="s">
        <v>12</v>
      </c>
      <c r="D7" s="264" t="s">
        <v>4</v>
      </c>
      <c r="E7" s="264" t="s">
        <v>5</v>
      </c>
      <c r="F7" s="13"/>
      <c r="G7" s="13"/>
    </row>
    <row r="8" spans="1:7" ht="14.25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58" t="s">
        <v>6</v>
      </c>
      <c r="F8" s="13"/>
      <c r="G8" s="13"/>
    </row>
    <row r="9" spans="1:7" ht="15" hidden="1" thickTop="1" x14ac:dyDescent="0.2">
      <c r="A9" s="241" t="s">
        <v>114</v>
      </c>
      <c r="B9" s="242">
        <v>0</v>
      </c>
      <c r="C9" s="243">
        <v>0</v>
      </c>
      <c r="D9" s="243">
        <v>0</v>
      </c>
      <c r="E9" s="80" t="e">
        <f>(D9/C9)*100</f>
        <v>#DIV/0!</v>
      </c>
      <c r="F9" s="13"/>
      <c r="G9" s="13"/>
    </row>
    <row r="10" spans="1:7" ht="29.25" thickTop="1" x14ac:dyDescent="0.2">
      <c r="A10" s="239" t="s">
        <v>115</v>
      </c>
      <c r="B10" s="244">
        <v>150000</v>
      </c>
      <c r="C10" s="240">
        <v>1471171</v>
      </c>
      <c r="D10" s="240">
        <v>-2406603</v>
      </c>
      <c r="E10" s="471">
        <f>(D10/C10)*100</f>
        <v>-163.58417886160072</v>
      </c>
      <c r="F10" s="13"/>
      <c r="G10" s="13"/>
    </row>
    <row r="11" spans="1:7" ht="28.5" x14ac:dyDescent="0.2">
      <c r="A11" s="239" t="s">
        <v>119</v>
      </c>
      <c r="B11" s="244">
        <v>700000</v>
      </c>
      <c r="C11" s="240">
        <v>700000</v>
      </c>
      <c r="D11" s="240"/>
      <c r="E11" s="471"/>
      <c r="F11" s="13"/>
      <c r="G11" s="13"/>
    </row>
    <row r="12" spans="1:7" ht="28.5" hidden="1" x14ac:dyDescent="0.2">
      <c r="A12" s="239" t="s">
        <v>121</v>
      </c>
      <c r="B12" s="244">
        <v>0</v>
      </c>
      <c r="C12" s="240">
        <v>0</v>
      </c>
      <c r="D12" s="240">
        <v>0</v>
      </c>
      <c r="E12" s="471">
        <v>0</v>
      </c>
      <c r="F12" s="13"/>
      <c r="G12" s="13"/>
    </row>
    <row r="13" spans="1:7" ht="14.25" hidden="1" x14ac:dyDescent="0.2">
      <c r="A13" s="239" t="s">
        <v>120</v>
      </c>
      <c r="B13" s="244">
        <v>0</v>
      </c>
      <c r="C13" s="240">
        <v>0</v>
      </c>
      <c r="D13" s="240">
        <v>0</v>
      </c>
      <c r="E13" s="471">
        <v>0</v>
      </c>
      <c r="F13" s="13"/>
      <c r="G13" s="13"/>
    </row>
    <row r="14" spans="1:7" ht="15" x14ac:dyDescent="0.25">
      <c r="A14" s="220" t="s">
        <v>116</v>
      </c>
      <c r="B14" s="224">
        <v>-244674</v>
      </c>
      <c r="C14" s="229">
        <v>-523483</v>
      </c>
      <c r="D14" s="229">
        <v>-401958</v>
      </c>
      <c r="E14" s="471">
        <f>(D14/C14)*100</f>
        <v>76.785301528416397</v>
      </c>
      <c r="F14" s="27"/>
      <c r="G14" s="13"/>
    </row>
    <row r="15" spans="1:7" ht="43.5" x14ac:dyDescent="0.25">
      <c r="A15" s="327" t="s">
        <v>129</v>
      </c>
      <c r="B15" s="328">
        <v>0</v>
      </c>
      <c r="C15" s="329">
        <v>0</v>
      </c>
      <c r="D15" s="329">
        <v>-200</v>
      </c>
      <c r="E15" s="472"/>
      <c r="F15" s="27"/>
      <c r="G15" s="13"/>
    </row>
    <row r="16" spans="1:7" ht="16.5" thickBot="1" x14ac:dyDescent="0.3">
      <c r="A16" s="234" t="s">
        <v>89</v>
      </c>
      <c r="B16" s="235">
        <f>SUM(B9:B15)</f>
        <v>605326</v>
      </c>
      <c r="C16" s="235">
        <f>SUM(C9:C15)</f>
        <v>1647688</v>
      </c>
      <c r="D16" s="235">
        <f>SUM(D9:D15)</f>
        <v>-2808761</v>
      </c>
      <c r="E16" s="473">
        <f>(D16/C16)*100</f>
        <v>-170.46679953971869</v>
      </c>
      <c r="F16" s="13"/>
      <c r="G16" s="13"/>
    </row>
    <row r="17" spans="1:7" ht="13.5" thickTop="1" x14ac:dyDescent="0.2">
      <c r="A17" s="222"/>
      <c r="B17" s="222"/>
      <c r="C17" s="223"/>
      <c r="D17" s="223"/>
      <c r="E17" s="222"/>
      <c r="F17" s="13"/>
      <c r="G17" s="13"/>
    </row>
    <row r="18" spans="1:7" x14ac:dyDescent="0.2">
      <c r="A18" s="222"/>
      <c r="B18" s="222"/>
      <c r="C18" s="223"/>
      <c r="D18" s="223"/>
      <c r="E18" s="222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3"/>
      <c r="D20" s="223"/>
      <c r="E20" s="222"/>
      <c r="F20" s="13"/>
      <c r="G20" s="13"/>
    </row>
    <row r="21" spans="1:7" x14ac:dyDescent="0.2">
      <c r="A21" s="222"/>
      <c r="B21" s="222"/>
      <c r="C21" s="223"/>
      <c r="D21" s="223"/>
      <c r="E21" s="222"/>
      <c r="F21" s="13"/>
      <c r="G21" s="13"/>
    </row>
    <row r="22" spans="1:7" x14ac:dyDescent="0.2">
      <c r="A22" s="222"/>
      <c r="B22" s="222"/>
      <c r="C22" s="223"/>
      <c r="D22" s="223"/>
      <c r="E22" s="222"/>
      <c r="F22" s="13"/>
      <c r="G22" s="13"/>
    </row>
    <row r="23" spans="1:7" ht="25.5" customHeight="1" x14ac:dyDescent="0.2">
      <c r="A23" s="222"/>
      <c r="B23" s="222"/>
      <c r="C23" s="223"/>
      <c r="D23" s="223"/>
      <c r="E23" s="222"/>
      <c r="F23" s="13"/>
      <c r="G23" s="13"/>
    </row>
    <row r="24" spans="1:7" x14ac:dyDescent="0.2">
      <c r="A24" s="222"/>
      <c r="B24" s="222"/>
      <c r="C24" s="223"/>
      <c r="D24" s="223"/>
      <c r="E24" s="222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7" orientation="portrait" cellComments="asDisplayed" useFirstPageNumber="1" r:id="rId1"/>
  <headerFooter alignWithMargins="0">
    <oddFooter xml:space="preserve">&amp;L&amp;"Arial CE,Kurzíva"Zastupitelstvo Olomouckého kraje 16. 12. 2024
9.2. - Rozpočet Olomouckého kraje 2024 - plnění rozpočtu k 30. 9. 2024
Příloha č. 2 - Plnění rozpočtu Olomouckého kraje k 30. 9. 2024&amp;R&amp;"Arial CE,Kurzíva"Strana &amp;P (Celkem 9)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U11"/>
  <sheetViews>
    <sheetView showGridLines="0" view="pageBreakPreview" zoomScaleNormal="100" zoomScaleSheetLayoutView="100" workbookViewId="0">
      <selection activeCell="F9" sqref="F9"/>
    </sheetView>
  </sheetViews>
  <sheetFormatPr defaultRowHeight="12.75" x14ac:dyDescent="0.2"/>
  <cols>
    <col min="4" max="4" width="32" customWidth="1"/>
    <col min="5" max="5" width="15.28515625" customWidth="1"/>
    <col min="6" max="6" width="15.140625" customWidth="1"/>
    <col min="7" max="7" width="15" customWidth="1"/>
    <col min="8" max="8" width="8" customWidth="1"/>
  </cols>
  <sheetData>
    <row r="1" spans="1:21" ht="20.25" x14ac:dyDescent="0.3">
      <c r="A1" s="545" t="s">
        <v>156</v>
      </c>
      <c r="B1" s="545"/>
      <c r="C1" s="545"/>
      <c r="D1" s="545"/>
      <c r="E1" s="545"/>
      <c r="F1" s="545"/>
      <c r="G1" s="545"/>
      <c r="H1" s="545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/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546" t="s">
        <v>73</v>
      </c>
      <c r="H4" s="546"/>
    </row>
    <row r="5" spans="1:21" s="90" customFormat="1" ht="14.25" customHeight="1" thickTop="1" thickBot="1" x14ac:dyDescent="0.25">
      <c r="A5" s="269"/>
      <c r="B5" s="270"/>
      <c r="C5" s="270"/>
      <c r="D5" s="271"/>
      <c r="E5" s="258" t="s">
        <v>11</v>
      </c>
      <c r="F5" s="258" t="s">
        <v>12</v>
      </c>
      <c r="G5" s="258" t="s">
        <v>4</v>
      </c>
      <c r="H5" s="261" t="s">
        <v>5</v>
      </c>
    </row>
    <row r="6" spans="1:21" s="90" customFormat="1" ht="14.25" customHeight="1" thickTop="1" thickBot="1" x14ac:dyDescent="0.25">
      <c r="A6" s="542">
        <v>1</v>
      </c>
      <c r="B6" s="543"/>
      <c r="C6" s="543"/>
      <c r="D6" s="544"/>
      <c r="E6" s="272">
        <v>2</v>
      </c>
      <c r="F6" s="272">
        <v>3</v>
      </c>
      <c r="G6" s="272">
        <v>4</v>
      </c>
      <c r="H6" s="273" t="s">
        <v>95</v>
      </c>
    </row>
    <row r="7" spans="1:21" s="93" customFormat="1" ht="19.5" thickTop="1" x14ac:dyDescent="0.4">
      <c r="A7" s="274" t="s">
        <v>38</v>
      </c>
      <c r="B7" s="275"/>
      <c r="C7" s="275"/>
      <c r="D7" s="276"/>
      <c r="E7" s="277">
        <f>'Příjmy OK - příloha č. 2'!B15</f>
        <v>7859108</v>
      </c>
      <c r="F7" s="277">
        <f>'Příjmy OK - příloha č. 2'!C15</f>
        <v>23765669</v>
      </c>
      <c r="G7" s="277">
        <f>'Příjmy OK - příloha č. 2'!D15</f>
        <v>19834188</v>
      </c>
      <c r="H7" s="474">
        <f>(G7/F7)*100</f>
        <v>83.457309785809102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8.75" x14ac:dyDescent="0.4">
      <c r="A8" s="278" t="s">
        <v>39</v>
      </c>
      <c r="B8" s="279"/>
      <c r="C8" s="279"/>
      <c r="D8" s="280"/>
      <c r="E8" s="281">
        <f>'Výdaje OK - příloha č. 2'!C108</f>
        <v>8464434</v>
      </c>
      <c r="F8" s="281">
        <f>'Výdaje OK - příloha č. 2'!D108</f>
        <v>25413357</v>
      </c>
      <c r="G8" s="281">
        <f>'Výdaje OK - příloha č. 2'!E108</f>
        <v>17025427</v>
      </c>
      <c r="H8" s="475">
        <f>(G8/F8)*100</f>
        <v>66.994010275777413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8.75" x14ac:dyDescent="0.4">
      <c r="A9" s="278" t="s">
        <v>88</v>
      </c>
      <c r="B9" s="279"/>
      <c r="C9" s="279"/>
      <c r="D9" s="280"/>
      <c r="E9" s="281">
        <f>'Financování OK - příloha č. 2'!B16</f>
        <v>605326</v>
      </c>
      <c r="F9" s="281">
        <f>'Financování OK - příloha č. 2'!C16</f>
        <v>1647688</v>
      </c>
      <c r="G9" s="281">
        <f>'Financování OK - příloha č. 2'!D16</f>
        <v>-2808761</v>
      </c>
      <c r="H9" s="475">
        <f>(G9/F9)*100</f>
        <v>-170.46679953971869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21.75" customHeight="1" thickBot="1" x14ac:dyDescent="0.3">
      <c r="A10" s="282" t="s">
        <v>92</v>
      </c>
      <c r="B10" s="283"/>
      <c r="C10" s="283"/>
      <c r="D10" s="283"/>
      <c r="E10" s="284"/>
      <c r="F10" s="285"/>
      <c r="G10" s="286">
        <f>G7-G8</f>
        <v>2808761</v>
      </c>
      <c r="H10" s="287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8" orientation="portrait" useFirstPageNumber="1" r:id="rId1"/>
  <headerFooter alignWithMargins="0">
    <oddFooter xml:space="preserve">&amp;L&amp;"Arial CE,Kurzíva"Zastupitelstvo Olomouckého kraje 16. 12. 2024
9.2. - Rozpočet Olomouckého kraje 2024 - plnění rozpočtu k 30. 9. 2024
Příloha č.2 - Plnění rozpočtu Olomouckého kraje k 30. 9. 2024&amp;R&amp;"Arial CE,Kurzíva"Strana &amp;P (Celkem 9)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09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7" t="s">
        <v>74</v>
      </c>
      <c r="B1" s="547"/>
      <c r="C1" s="547"/>
      <c r="D1" s="547"/>
      <c r="E1" s="547"/>
      <c r="F1" s="547"/>
      <c r="G1" s="173"/>
      <c r="H1" s="173"/>
      <c r="I1" s="173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5" t="s">
        <v>9</v>
      </c>
      <c r="B3" s="156" t="s">
        <v>10</v>
      </c>
      <c r="C3" s="157" t="s">
        <v>11</v>
      </c>
      <c r="D3" s="157" t="s">
        <v>12</v>
      </c>
      <c r="E3" s="157" t="s">
        <v>4</v>
      </c>
      <c r="F3" s="158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09" t="s">
        <v>18</v>
      </c>
      <c r="B4" s="110">
        <v>3</v>
      </c>
      <c r="C4" s="83">
        <f>C5+C6+C7+C8+C9</f>
        <v>299231</v>
      </c>
      <c r="D4" s="83">
        <f>D5+D6+D7+D8+D9</f>
        <v>303137</v>
      </c>
      <c r="E4" s="83">
        <f>E5+E6+E7+E8+E9</f>
        <v>187892</v>
      </c>
      <c r="F4" s="210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1" t="s">
        <v>14</v>
      </c>
      <c r="B5" s="37"/>
      <c r="C5" s="30">
        <v>291081</v>
      </c>
      <c r="D5" s="30">
        <v>293591</v>
      </c>
      <c r="E5" s="30">
        <v>183624</v>
      </c>
      <c r="F5" s="212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1" t="s">
        <v>15</v>
      </c>
      <c r="B6" s="37"/>
      <c r="C6" s="30">
        <v>2200</v>
      </c>
      <c r="D6" s="30">
        <v>2480</v>
      </c>
      <c r="E6" s="30">
        <v>123</v>
      </c>
      <c r="F6" s="212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3" t="s">
        <v>16</v>
      </c>
      <c r="B7" s="29"/>
      <c r="C7" s="30">
        <v>0</v>
      </c>
      <c r="D7" s="30">
        <v>1116</v>
      </c>
      <c r="E7" s="30">
        <v>310</v>
      </c>
      <c r="F7" s="212">
        <f t="shared" si="0"/>
        <v>27.777777777777779</v>
      </c>
      <c r="G7" s="31"/>
      <c r="H7" s="85">
        <f>D7+D8</f>
        <v>1116</v>
      </c>
      <c r="I7" s="85">
        <f>E7+E8</f>
        <v>310</v>
      </c>
      <c r="J7" s="85"/>
      <c r="K7" s="55"/>
      <c r="N7" s="33"/>
    </row>
    <row r="8" spans="1:14" s="32" customFormat="1" x14ac:dyDescent="0.2">
      <c r="A8" s="213" t="s">
        <v>17</v>
      </c>
      <c r="B8" s="29"/>
      <c r="C8" s="30">
        <v>0</v>
      </c>
      <c r="D8" s="30">
        <v>0</v>
      </c>
      <c r="E8" s="30">
        <v>0</v>
      </c>
      <c r="F8" s="212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4" t="s">
        <v>43</v>
      </c>
      <c r="B9" s="215"/>
      <c r="C9" s="216">
        <v>5950</v>
      </c>
      <c r="D9" s="216">
        <v>5950</v>
      </c>
      <c r="E9" s="216">
        <v>3835</v>
      </c>
      <c r="F9" s="217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4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4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5"/>
      <c r="E15" s="125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5"/>
      <c r="E16" s="125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1"/>
      <c r="B17" s="191"/>
      <c r="C17" s="192"/>
      <c r="D17" s="193"/>
      <c r="E17" s="192"/>
      <c r="F17" s="194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5"/>
      <c r="B18" s="196"/>
      <c r="C18" s="197"/>
      <c r="D18" s="197"/>
      <c r="E18" s="197"/>
      <c r="F18" s="194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4"/>
      <c r="B19" s="40"/>
      <c r="C19" s="175"/>
      <c r="D19" s="175"/>
      <c r="E19" s="175"/>
      <c r="F19" s="176"/>
      <c r="G19" s="176"/>
      <c r="H19" s="176"/>
      <c r="I19" s="176"/>
      <c r="J19" s="70"/>
      <c r="K19" s="68"/>
      <c r="L19" s="177"/>
      <c r="N19" s="79"/>
    </row>
    <row r="20" spans="1:14" s="78" customFormat="1" ht="15" hidden="1" thickTop="1" x14ac:dyDescent="0.2">
      <c r="A20" s="174"/>
      <c r="B20" s="40"/>
      <c r="C20" s="175"/>
      <c r="D20" s="175"/>
      <c r="E20" s="175"/>
      <c r="F20" s="176"/>
      <c r="G20" s="176"/>
      <c r="H20" s="176"/>
      <c r="I20" s="176"/>
      <c r="J20" s="70"/>
      <c r="K20" s="68"/>
      <c r="L20" s="177"/>
      <c r="N20" s="79"/>
    </row>
    <row r="21" spans="1:14" s="78" customFormat="1" ht="15" hidden="1" thickTop="1" x14ac:dyDescent="0.2">
      <c r="A21" s="174"/>
      <c r="B21" s="40"/>
      <c r="C21" s="175"/>
      <c r="D21" s="175"/>
      <c r="E21" s="175"/>
      <c r="F21" s="176"/>
      <c r="G21" s="176"/>
      <c r="H21" s="176"/>
      <c r="I21" s="176"/>
      <c r="J21" s="70"/>
      <c r="K21" s="68"/>
      <c r="L21" s="177"/>
      <c r="N21" s="79"/>
    </row>
    <row r="22" spans="1:14" s="78" customFormat="1" ht="15.75" hidden="1" thickTop="1" x14ac:dyDescent="0.25">
      <c r="A22" s="174"/>
      <c r="B22" s="40"/>
      <c r="C22" s="178"/>
      <c r="D22" s="178"/>
      <c r="E22" s="178"/>
      <c r="F22" s="179"/>
      <c r="G22" s="179"/>
      <c r="H22" s="179"/>
      <c r="I22" s="179"/>
      <c r="J22" s="70"/>
      <c r="K22" s="67"/>
      <c r="L22" s="177"/>
      <c r="N22" s="79"/>
    </row>
    <row r="23" spans="1:14" s="78" customFormat="1" ht="15" hidden="1" thickTop="1" x14ac:dyDescent="0.2">
      <c r="A23" s="174"/>
      <c r="B23" s="40"/>
      <c r="C23" s="175"/>
      <c r="D23" s="175"/>
      <c r="E23" s="175"/>
      <c r="F23" s="176"/>
      <c r="G23" s="176"/>
      <c r="H23" s="176"/>
      <c r="I23" s="176"/>
      <c r="J23" s="70"/>
      <c r="K23" s="68"/>
      <c r="L23" s="177"/>
      <c r="N23" s="79"/>
    </row>
    <row r="24" spans="1:14" s="78" customFormat="1" ht="15" hidden="1" thickTop="1" x14ac:dyDescent="0.2">
      <c r="A24" s="174"/>
      <c r="B24" s="40"/>
      <c r="C24" s="175"/>
      <c r="D24" s="175"/>
      <c r="E24" s="175"/>
      <c r="F24" s="176"/>
      <c r="G24" s="176"/>
      <c r="H24" s="176"/>
      <c r="I24" s="176"/>
      <c r="J24" s="70"/>
      <c r="K24" s="68"/>
      <c r="L24" s="177"/>
      <c r="N24" s="79"/>
    </row>
    <row r="25" spans="1:14" s="78" customFormat="1" ht="15.75" hidden="1" thickTop="1" x14ac:dyDescent="0.25">
      <c r="A25" s="174"/>
      <c r="B25" s="40"/>
      <c r="C25" s="180"/>
      <c r="D25" s="180"/>
      <c r="E25" s="180"/>
      <c r="F25" s="175"/>
      <c r="G25" s="175"/>
      <c r="H25" s="175"/>
      <c r="I25" s="175"/>
      <c r="J25" s="70"/>
      <c r="K25" s="181"/>
      <c r="L25" s="177"/>
      <c r="N25" s="79"/>
    </row>
    <row r="26" spans="1:14" s="78" customFormat="1" ht="15" hidden="1" thickTop="1" x14ac:dyDescent="0.2">
      <c r="A26" s="174"/>
      <c r="B26" s="40"/>
      <c r="C26" s="182"/>
      <c r="D26" s="182"/>
      <c r="E26" s="182"/>
      <c r="F26" s="175"/>
      <c r="G26" s="175"/>
      <c r="H26" s="175"/>
      <c r="I26" s="175"/>
      <c r="J26" s="70"/>
      <c r="K26" s="183"/>
      <c r="L26" s="177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77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77"/>
      <c r="N28" s="79"/>
    </row>
    <row r="29" spans="1:14" s="78" customFormat="1" ht="12.75" x14ac:dyDescent="0.2">
      <c r="A29" s="548"/>
      <c r="B29" s="549"/>
      <c r="C29" s="549"/>
      <c r="D29" s="549"/>
      <c r="E29" s="549"/>
      <c r="F29" s="549"/>
      <c r="G29" s="64"/>
      <c r="H29" s="64"/>
      <c r="I29" s="64"/>
      <c r="J29" s="70"/>
      <c r="K29" s="65"/>
      <c r="L29" s="177"/>
      <c r="N29" s="79"/>
    </row>
    <row r="30" spans="1:14" s="78" customFormat="1" ht="12.75" x14ac:dyDescent="0.2">
      <c r="A30" s="549"/>
      <c r="B30" s="549"/>
      <c r="C30" s="549"/>
      <c r="D30" s="549"/>
      <c r="E30" s="549"/>
      <c r="F30" s="549"/>
      <c r="G30" s="64"/>
      <c r="H30" s="64"/>
      <c r="I30" s="64"/>
      <c r="J30" s="70"/>
      <c r="K30" s="65"/>
      <c r="L30" s="177"/>
      <c r="N30" s="79"/>
    </row>
    <row r="31" spans="1:14" s="78" customFormat="1" hidden="1" x14ac:dyDescent="0.2">
      <c r="A31" s="174"/>
      <c r="B31" s="40"/>
      <c r="C31" s="175"/>
      <c r="D31" s="175"/>
      <c r="E31" s="175"/>
      <c r="F31" s="175"/>
      <c r="G31" s="175"/>
      <c r="H31" s="175"/>
      <c r="I31" s="175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5"/>
      <c r="D32" s="175"/>
      <c r="E32" s="175"/>
      <c r="F32" s="175"/>
      <c r="G32" s="175"/>
      <c r="H32" s="175"/>
      <c r="I32" s="175"/>
      <c r="J32" s="70"/>
      <c r="K32" s="68"/>
      <c r="N32" s="79"/>
    </row>
    <row r="33" spans="1:14" s="78" customFormat="1" hidden="1" x14ac:dyDescent="0.2">
      <c r="A33" s="28"/>
      <c r="B33" s="40"/>
      <c r="C33" s="175"/>
      <c r="D33" s="175"/>
      <c r="E33" s="175"/>
      <c r="F33" s="175"/>
      <c r="G33" s="175"/>
      <c r="H33" s="175"/>
      <c r="I33" s="175"/>
      <c r="J33" s="70"/>
      <c r="K33" s="68"/>
      <c r="N33" s="79"/>
    </row>
    <row r="34" spans="1:14" s="78" customFormat="1" hidden="1" x14ac:dyDescent="0.2">
      <c r="A34" s="34"/>
      <c r="B34" s="40"/>
      <c r="C34" s="175"/>
      <c r="D34" s="175"/>
      <c r="E34" s="175"/>
      <c r="F34" s="175"/>
      <c r="G34" s="175"/>
      <c r="H34" s="175"/>
      <c r="I34" s="175"/>
      <c r="J34" s="70"/>
      <c r="K34" s="68"/>
      <c r="N34" s="79"/>
    </row>
    <row r="35" spans="1:14" s="78" customFormat="1" hidden="1" x14ac:dyDescent="0.2">
      <c r="A35" s="50"/>
      <c r="B35" s="40"/>
      <c r="C35" s="175"/>
      <c r="D35" s="175"/>
      <c r="E35" s="175"/>
      <c r="F35" s="175"/>
      <c r="G35" s="175"/>
      <c r="H35" s="175"/>
      <c r="I35" s="175"/>
      <c r="J35" s="70"/>
      <c r="K35" s="68"/>
      <c r="N35" s="79"/>
    </row>
    <row r="36" spans="1:14" s="78" customFormat="1" hidden="1" x14ac:dyDescent="0.2">
      <c r="A36" s="51"/>
      <c r="B36" s="40"/>
      <c r="C36" s="175"/>
      <c r="D36" s="175"/>
      <c r="E36" s="175"/>
      <c r="F36" s="175"/>
      <c r="G36" s="175"/>
      <c r="H36" s="175"/>
      <c r="I36" s="175"/>
      <c r="J36" s="70"/>
      <c r="K36" s="68"/>
      <c r="N36" s="79"/>
    </row>
    <row r="37" spans="1:14" s="78" customFormat="1" hidden="1" x14ac:dyDescent="0.2">
      <c r="A37" s="49"/>
      <c r="B37" s="40"/>
      <c r="C37" s="175"/>
      <c r="D37" s="175"/>
      <c r="E37" s="175"/>
      <c r="F37" s="175"/>
      <c r="G37" s="175"/>
      <c r="H37" s="175"/>
      <c r="I37" s="175"/>
      <c r="J37" s="70"/>
      <c r="K37" s="68"/>
      <c r="N37" s="79"/>
    </row>
    <row r="38" spans="1:14" s="78" customFormat="1" hidden="1" x14ac:dyDescent="0.2">
      <c r="A38" s="28"/>
      <c r="B38" s="40"/>
      <c r="C38" s="175"/>
      <c r="D38" s="175"/>
      <c r="E38" s="175"/>
      <c r="F38" s="175"/>
      <c r="G38" s="175"/>
      <c r="H38" s="175"/>
      <c r="I38" s="175"/>
      <c r="J38" s="70"/>
      <c r="K38" s="68"/>
      <c r="N38" s="79"/>
    </row>
    <row r="39" spans="1:14" s="78" customFormat="1" hidden="1" x14ac:dyDescent="0.2">
      <c r="A39" s="50"/>
      <c r="B39" s="40"/>
      <c r="C39" s="175"/>
      <c r="D39" s="175"/>
      <c r="E39" s="175"/>
      <c r="F39" s="175"/>
      <c r="G39" s="175"/>
      <c r="H39" s="175"/>
      <c r="I39" s="175"/>
      <c r="J39" s="70"/>
      <c r="K39" s="68"/>
      <c r="N39" s="79"/>
    </row>
    <row r="40" spans="1:14" s="78" customFormat="1" hidden="1" x14ac:dyDescent="0.2">
      <c r="A40" s="38"/>
      <c r="B40" s="40"/>
      <c r="C40" s="175"/>
      <c r="D40" s="175"/>
      <c r="E40" s="175"/>
      <c r="F40" s="175"/>
      <c r="G40" s="175"/>
      <c r="H40" s="175"/>
      <c r="I40" s="175"/>
      <c r="J40" s="70"/>
      <c r="K40" s="68"/>
      <c r="N40" s="79"/>
    </row>
    <row r="41" spans="1:14" s="78" customFormat="1" hidden="1" x14ac:dyDescent="0.2">
      <c r="A41" s="174"/>
      <c r="B41" s="40"/>
      <c r="C41" s="175"/>
      <c r="D41" s="175"/>
      <c r="E41" s="175"/>
      <c r="F41" s="175"/>
      <c r="G41" s="175"/>
      <c r="H41" s="175"/>
      <c r="I41" s="175"/>
      <c r="J41" s="70"/>
      <c r="K41" s="68"/>
      <c r="N41" s="79"/>
    </row>
    <row r="42" spans="1:14" s="78" customFormat="1" hidden="1" x14ac:dyDescent="0.2">
      <c r="A42" s="174"/>
      <c r="B42" s="40"/>
      <c r="C42" s="175"/>
      <c r="D42" s="175"/>
      <c r="E42" s="175"/>
      <c r="F42" s="175"/>
      <c r="G42" s="175"/>
      <c r="H42" s="175"/>
      <c r="I42" s="175"/>
      <c r="J42" s="70"/>
      <c r="K42" s="68"/>
      <c r="N42" s="79"/>
    </row>
    <row r="43" spans="1:14" s="78" customFormat="1" x14ac:dyDescent="0.2">
      <c r="A43" s="174"/>
      <c r="B43" s="40"/>
      <c r="C43" s="175"/>
      <c r="D43" s="175"/>
      <c r="E43" s="175"/>
      <c r="F43" s="175"/>
      <c r="G43" s="175"/>
      <c r="H43" s="175"/>
      <c r="I43" s="175"/>
      <c r="J43" s="70"/>
      <c r="K43" s="68"/>
      <c r="N43" s="79"/>
    </row>
    <row r="44" spans="1:14" s="78" customFormat="1" ht="15" x14ac:dyDescent="0.25">
      <c r="A44" s="198"/>
      <c r="B44" s="40"/>
      <c r="C44" s="175"/>
      <c r="D44" s="175"/>
      <c r="E44" s="175"/>
      <c r="F44" s="184"/>
      <c r="G44" s="175"/>
      <c r="H44" s="175"/>
      <c r="I44" s="175"/>
      <c r="J44" s="70"/>
      <c r="K44" s="68"/>
      <c r="N44" s="79"/>
    </row>
    <row r="45" spans="1:14" s="185" customFormat="1" ht="12.75" x14ac:dyDescent="0.2">
      <c r="A45" s="199"/>
      <c r="B45" s="200"/>
      <c r="C45" s="201"/>
      <c r="D45" s="201"/>
      <c r="E45" s="201"/>
      <c r="F45" s="202"/>
      <c r="G45" s="24"/>
      <c r="H45" s="24"/>
      <c r="I45" s="24"/>
      <c r="J45" s="172"/>
      <c r="K45" s="66"/>
      <c r="N45" s="186"/>
    </row>
    <row r="46" spans="1:14" s="185" customFormat="1" ht="12.75" x14ac:dyDescent="0.2">
      <c r="A46" s="203"/>
      <c r="B46" s="204"/>
      <c r="C46" s="204"/>
      <c r="D46" s="204"/>
      <c r="E46" s="204"/>
      <c r="F46" s="202"/>
      <c r="G46" s="24"/>
      <c r="H46" s="24"/>
      <c r="I46" s="24"/>
      <c r="J46" s="73"/>
      <c r="K46" s="66"/>
      <c r="N46" s="186"/>
    </row>
    <row r="47" spans="1:14" s="78" customFormat="1" x14ac:dyDescent="0.2">
      <c r="A47" s="174"/>
      <c r="B47" s="40"/>
      <c r="C47" s="175"/>
      <c r="D47" s="85"/>
      <c r="E47" s="85"/>
      <c r="F47" s="205"/>
      <c r="H47" s="177"/>
      <c r="I47" s="177"/>
      <c r="J47" s="177"/>
      <c r="K47" s="68"/>
      <c r="N47" s="79"/>
    </row>
    <row r="48" spans="1:14" s="78" customFormat="1" x14ac:dyDescent="0.2">
      <c r="A48" s="550"/>
      <c r="B48" s="40"/>
      <c r="C48" s="85"/>
      <c r="D48" s="165"/>
      <c r="E48" s="85"/>
      <c r="F48" s="205"/>
      <c r="H48" s="187"/>
      <c r="I48" s="187"/>
      <c r="J48" s="187"/>
      <c r="K48" s="68"/>
      <c r="N48" s="79"/>
    </row>
    <row r="49" spans="1:14" s="78" customFormat="1" x14ac:dyDescent="0.2">
      <c r="A49" s="550"/>
      <c r="B49" s="40"/>
      <c r="C49" s="85"/>
      <c r="D49" s="85"/>
      <c r="E49" s="85"/>
      <c r="F49" s="205"/>
      <c r="H49" s="188"/>
      <c r="I49" s="175"/>
      <c r="J49" s="41"/>
      <c r="K49" s="55"/>
      <c r="N49" s="79"/>
    </row>
    <row r="50" spans="1:14" s="78" customFormat="1" x14ac:dyDescent="0.2">
      <c r="A50" s="206"/>
      <c r="B50" s="40"/>
      <c r="C50" s="85"/>
      <c r="D50" s="165"/>
      <c r="E50" s="85"/>
      <c r="F50" s="205"/>
      <c r="I50" s="189"/>
      <c r="J50" s="189"/>
      <c r="K50" s="68"/>
      <c r="N50" s="79"/>
    </row>
    <row r="51" spans="1:14" s="78" customFormat="1" x14ac:dyDescent="0.2">
      <c r="A51" s="207"/>
      <c r="B51" s="40"/>
      <c r="C51" s="85"/>
      <c r="D51" s="165"/>
      <c r="E51" s="85"/>
      <c r="F51" s="205"/>
      <c r="I51" s="175"/>
      <c r="J51" s="190"/>
      <c r="K51" s="68"/>
      <c r="N51" s="79"/>
    </row>
    <row r="52" spans="1:14" s="78" customFormat="1" x14ac:dyDescent="0.2">
      <c r="A52" s="208"/>
      <c r="B52" s="40"/>
      <c r="C52" s="85"/>
      <c r="D52" s="165"/>
      <c r="E52" s="85"/>
      <c r="F52" s="205"/>
      <c r="I52" s="175"/>
      <c r="J52" s="190"/>
      <c r="K52" s="68"/>
      <c r="N52" s="79"/>
    </row>
    <row r="53" spans="1:14" s="78" customFormat="1" ht="15" x14ac:dyDescent="0.25">
      <c r="A53" s="198"/>
      <c r="B53" s="40"/>
      <c r="C53" s="178"/>
      <c r="D53" s="178"/>
      <c r="E53" s="178"/>
      <c r="F53" s="194"/>
      <c r="H53" s="177"/>
      <c r="I53" s="175"/>
      <c r="J53" s="190"/>
      <c r="K53" s="68"/>
      <c r="N53" s="79"/>
    </row>
    <row r="54" spans="1:14" s="78" customFormat="1" x14ac:dyDescent="0.2">
      <c r="A54" s="174"/>
      <c r="B54" s="40"/>
      <c r="C54" s="175"/>
      <c r="D54" s="165"/>
      <c r="E54" s="165"/>
      <c r="F54" s="175"/>
      <c r="G54" s="175"/>
      <c r="H54" s="175"/>
      <c r="I54" s="175"/>
      <c r="J54" s="190"/>
      <c r="K54" s="68"/>
      <c r="N54" s="79"/>
    </row>
    <row r="55" spans="1:14" s="78" customFormat="1" x14ac:dyDescent="0.2">
      <c r="A55" s="174"/>
      <c r="B55" s="40"/>
      <c r="C55" s="175"/>
      <c r="D55" s="175"/>
      <c r="E55" s="175"/>
      <c r="F55" s="175"/>
      <c r="G55" s="175"/>
      <c r="H55" s="175"/>
      <c r="I55" s="175"/>
      <c r="J55" s="190"/>
      <c r="K55" s="68"/>
      <c r="N55" s="79"/>
    </row>
    <row r="56" spans="1:14" s="78" customFormat="1" x14ac:dyDescent="0.2">
      <c r="A56" s="174"/>
      <c r="B56" s="40"/>
      <c r="C56" s="175"/>
      <c r="D56" s="175"/>
      <c r="E56" s="175"/>
      <c r="F56" s="175"/>
      <c r="G56" s="175"/>
      <c r="H56" s="175"/>
      <c r="I56" s="175"/>
      <c r="J56" s="190"/>
      <c r="K56" s="68"/>
      <c r="N56" s="79"/>
    </row>
    <row r="57" spans="1:14" s="78" customFormat="1" x14ac:dyDescent="0.2">
      <c r="A57" s="174"/>
      <c r="B57" s="40"/>
      <c r="C57" s="175"/>
      <c r="D57" s="175"/>
      <c r="E57" s="175"/>
      <c r="F57" s="175"/>
      <c r="G57" s="175"/>
      <c r="H57" s="175"/>
      <c r="I57" s="175"/>
      <c r="J57" s="190"/>
      <c r="K57" s="68"/>
      <c r="N57" s="79"/>
    </row>
    <row r="58" spans="1:14" s="78" customFormat="1" x14ac:dyDescent="0.2">
      <c r="A58" s="174"/>
      <c r="B58" s="40"/>
      <c r="C58" s="175"/>
      <c r="D58" s="175"/>
      <c r="E58" s="175"/>
      <c r="F58" s="175"/>
      <c r="G58" s="175"/>
      <c r="H58" s="175"/>
      <c r="I58" s="175"/>
      <c r="J58" s="190"/>
      <c r="K58" s="68"/>
      <c r="N58" s="79"/>
    </row>
    <row r="59" spans="1:14" s="78" customFormat="1" x14ac:dyDescent="0.2">
      <c r="A59" s="174"/>
      <c r="B59" s="40"/>
      <c r="C59" s="175"/>
      <c r="D59" s="175"/>
      <c r="E59" s="175"/>
      <c r="F59" s="175"/>
      <c r="G59" s="175"/>
      <c r="H59" s="175"/>
      <c r="I59" s="175"/>
      <c r="J59" s="190"/>
      <c r="K59" s="68"/>
      <c r="N59" s="79"/>
    </row>
    <row r="60" spans="1:14" s="78" customFormat="1" x14ac:dyDescent="0.2">
      <c r="A60" s="174"/>
      <c r="B60" s="40"/>
      <c r="C60" s="175"/>
      <c r="D60" s="175"/>
      <c r="E60" s="175"/>
      <c r="F60" s="175"/>
      <c r="G60" s="175"/>
      <c r="H60" s="175"/>
      <c r="I60" s="175"/>
      <c r="J60" s="190"/>
      <c r="K60" s="68"/>
      <c r="N60" s="79"/>
    </row>
    <row r="61" spans="1:14" s="78" customFormat="1" x14ac:dyDescent="0.2">
      <c r="A61" s="174"/>
      <c r="B61" s="40"/>
      <c r="C61" s="175"/>
      <c r="D61" s="175"/>
      <c r="E61" s="175"/>
      <c r="F61" s="175"/>
      <c r="G61" s="175"/>
      <c r="H61" s="175"/>
      <c r="I61" s="175"/>
      <c r="J61" s="190"/>
      <c r="K61" s="68"/>
      <c r="N61" s="79"/>
    </row>
    <row r="62" spans="1:14" s="78" customFormat="1" x14ac:dyDescent="0.2">
      <c r="A62" s="174"/>
      <c r="B62" s="40"/>
      <c r="C62" s="175"/>
      <c r="D62" s="175"/>
      <c r="E62" s="175"/>
      <c r="F62" s="175"/>
      <c r="G62" s="175"/>
      <c r="H62" s="175"/>
      <c r="I62" s="175"/>
      <c r="J62" s="190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9"/>
      <c r="B3" s="99" t="s">
        <v>35</v>
      </c>
      <c r="C3" s="99" t="s">
        <v>36</v>
      </c>
    </row>
    <row r="4" spans="1:3" x14ac:dyDescent="0.2">
      <c r="A4" s="99" t="s">
        <v>11</v>
      </c>
      <c r="B4" s="99">
        <f>'Rekapitulace OK - příloha č. 2'!E7</f>
        <v>7859108</v>
      </c>
      <c r="C4" s="99">
        <f>'Rekapitulace OK - příloha č. 2'!E8</f>
        <v>8464434</v>
      </c>
    </row>
    <row r="5" spans="1:3" x14ac:dyDescent="0.2">
      <c r="A5" s="99" t="s">
        <v>12</v>
      </c>
      <c r="B5" s="99">
        <f>'Rekapitulace OK - příloha č. 2'!F7</f>
        <v>23765669</v>
      </c>
      <c r="C5" s="99">
        <f>'Rekapitulace OK - příloha č. 2'!F8</f>
        <v>25413357</v>
      </c>
    </row>
    <row r="6" spans="1:3" x14ac:dyDescent="0.2">
      <c r="A6" s="99" t="s">
        <v>4</v>
      </c>
      <c r="B6" s="99">
        <f>'Rekapitulace OK - příloha č. 2'!G7</f>
        <v>19834188</v>
      </c>
      <c r="C6" s="99">
        <f>'Rekapitulace OK - příloha č. 2'!G8</f>
        <v>17025427</v>
      </c>
    </row>
    <row r="32" spans="1:3" x14ac:dyDescent="0.2">
      <c r="A32" s="99"/>
      <c r="B32" s="99" t="s">
        <v>41</v>
      </c>
      <c r="C32" s="99" t="s">
        <v>42</v>
      </c>
    </row>
    <row r="33" spans="1:3" x14ac:dyDescent="0.2">
      <c r="A33" s="99" t="s">
        <v>11</v>
      </c>
      <c r="B33" s="99" t="e">
        <f>'Příjmy OK - příloha č. 2'!#REF!</f>
        <v>#REF!</v>
      </c>
      <c r="C33" s="99" t="e">
        <f>'Výdaje OK - příloha č. 2'!#REF!</f>
        <v>#REF!</v>
      </c>
    </row>
    <row r="34" spans="1:3" x14ac:dyDescent="0.2">
      <c r="A34" s="99" t="s">
        <v>12</v>
      </c>
      <c r="B34" s="99" t="e">
        <f>'Příjmy OK - příloha č. 2'!#REF!</f>
        <v>#REF!</v>
      </c>
      <c r="C34" s="99" t="e">
        <f>'Výdaje OK - příloha č. 2'!#REF!</f>
        <v>#REF!</v>
      </c>
    </row>
    <row r="35" spans="1:3" x14ac:dyDescent="0.2">
      <c r="A35" s="99" t="s">
        <v>4</v>
      </c>
      <c r="B35" s="99" t="e">
        <f>'Příjmy OK - příloha č. 2'!#REF!</f>
        <v>#REF!</v>
      </c>
      <c r="C35" s="99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3">
        <v>8115</v>
      </c>
    </row>
    <row r="3" spans="1:6" x14ac:dyDescent="0.2">
      <c r="C3" s="130">
        <f>D3+D4+D5</f>
        <v>161414000</v>
      </c>
      <c r="D3" s="127">
        <v>41142000</v>
      </c>
      <c r="E3" t="s">
        <v>56</v>
      </c>
      <c r="F3" t="s">
        <v>60</v>
      </c>
    </row>
    <row r="4" spans="1:6" x14ac:dyDescent="0.2">
      <c r="C4" s="127"/>
      <c r="D4" s="127">
        <v>97035000</v>
      </c>
      <c r="E4" t="s">
        <v>57</v>
      </c>
      <c r="F4" t="s">
        <v>60</v>
      </c>
    </row>
    <row r="5" spans="1:6" x14ac:dyDescent="0.2">
      <c r="C5" s="127"/>
      <c r="D5" s="127">
        <v>23237000</v>
      </c>
      <c r="E5" t="s">
        <v>58</v>
      </c>
      <c r="F5" t="s">
        <v>60</v>
      </c>
    </row>
    <row r="6" spans="1:6" x14ac:dyDescent="0.2">
      <c r="C6" s="127"/>
    </row>
    <row r="8" spans="1:6" x14ac:dyDescent="0.2">
      <c r="A8" s="131" t="s">
        <v>45</v>
      </c>
      <c r="B8" s="131" t="s">
        <v>10</v>
      </c>
      <c r="C8" s="132">
        <v>8115</v>
      </c>
      <c r="D8" s="131" t="s">
        <v>46</v>
      </c>
      <c r="E8" s="131" t="s">
        <v>47</v>
      </c>
    </row>
    <row r="9" spans="1:6" x14ac:dyDescent="0.2">
      <c r="A9" s="128" t="s">
        <v>59</v>
      </c>
      <c r="B9">
        <v>11</v>
      </c>
      <c r="C9" s="135">
        <v>139046.97</v>
      </c>
      <c r="E9">
        <v>71000100686</v>
      </c>
    </row>
    <row r="10" spans="1:6" x14ac:dyDescent="0.2">
      <c r="A10" s="128" t="s">
        <v>48</v>
      </c>
      <c r="B10">
        <v>58</v>
      </c>
      <c r="C10" s="135">
        <v>22919266.140000001</v>
      </c>
      <c r="E10">
        <v>71000000000</v>
      </c>
    </row>
    <row r="11" spans="1:6" x14ac:dyDescent="0.2">
      <c r="A11" s="128" t="s">
        <v>49</v>
      </c>
      <c r="B11">
        <v>63</v>
      </c>
      <c r="C11" s="135">
        <v>28596708.789999999</v>
      </c>
      <c r="E11">
        <v>71000000000</v>
      </c>
    </row>
    <row r="12" spans="1:6" x14ac:dyDescent="0.2">
      <c r="A12" s="128" t="s">
        <v>50</v>
      </c>
      <c r="B12">
        <v>68</v>
      </c>
      <c r="C12" s="135">
        <v>19248386.399999999</v>
      </c>
      <c r="E12">
        <v>71000000000</v>
      </c>
    </row>
    <row r="13" spans="1:6" x14ac:dyDescent="0.2">
      <c r="A13" s="128" t="s">
        <v>51</v>
      </c>
      <c r="B13">
        <v>53</v>
      </c>
      <c r="C13" s="135">
        <v>2849258.72</v>
      </c>
      <c r="E13">
        <v>71000000000</v>
      </c>
    </row>
    <row r="14" spans="1:6" x14ac:dyDescent="0.2">
      <c r="A14" s="128" t="s">
        <v>51</v>
      </c>
      <c r="B14">
        <v>54</v>
      </c>
      <c r="C14" s="135">
        <v>171141.26</v>
      </c>
      <c r="E14">
        <v>71000000000</v>
      </c>
    </row>
    <row r="15" spans="1:6" x14ac:dyDescent="0.2">
      <c r="A15" s="128" t="s">
        <v>51</v>
      </c>
      <c r="B15">
        <v>55</v>
      </c>
      <c r="C15" s="135">
        <v>85448.15</v>
      </c>
      <c r="E15">
        <v>71000000000</v>
      </c>
    </row>
    <row r="16" spans="1:6" x14ac:dyDescent="0.2">
      <c r="A16" s="128" t="s">
        <v>52</v>
      </c>
      <c r="B16">
        <v>56</v>
      </c>
      <c r="C16" s="135">
        <v>46667546.780000001</v>
      </c>
      <c r="E16">
        <v>71000000000</v>
      </c>
    </row>
    <row r="17" spans="1:7" x14ac:dyDescent="0.2">
      <c r="A17" s="128" t="s">
        <v>52</v>
      </c>
      <c r="B17">
        <v>57</v>
      </c>
      <c r="C17" s="135">
        <v>14942427.93</v>
      </c>
      <c r="E17">
        <v>71000000000</v>
      </c>
    </row>
    <row r="18" spans="1:7" x14ac:dyDescent="0.2">
      <c r="A18" s="128" t="s">
        <v>53</v>
      </c>
      <c r="B18">
        <v>60</v>
      </c>
      <c r="C18" s="135">
        <v>48299146.789999999</v>
      </c>
      <c r="E18">
        <v>71000000000</v>
      </c>
    </row>
    <row r="19" spans="1:7" x14ac:dyDescent="0.2">
      <c r="A19" s="128" t="s">
        <v>54</v>
      </c>
      <c r="B19">
        <v>64</v>
      </c>
      <c r="C19" s="135">
        <v>170000</v>
      </c>
      <c r="E19">
        <v>71000100493</v>
      </c>
    </row>
    <row r="20" spans="1:7" x14ac:dyDescent="0.2">
      <c r="A20" s="128" t="s">
        <v>55</v>
      </c>
      <c r="B20">
        <v>66</v>
      </c>
      <c r="C20" s="135">
        <v>42362429.25</v>
      </c>
      <c r="E20">
        <v>71000000000</v>
      </c>
    </row>
    <row r="21" spans="1:7" x14ac:dyDescent="0.2">
      <c r="A21" s="128" t="s">
        <v>55</v>
      </c>
      <c r="B21">
        <v>67</v>
      </c>
      <c r="C21" s="135">
        <v>15396049.710000001</v>
      </c>
      <c r="E21">
        <v>71000000000</v>
      </c>
    </row>
    <row r="22" spans="1:7" x14ac:dyDescent="0.2">
      <c r="A22" s="128" t="s">
        <v>61</v>
      </c>
      <c r="B22">
        <v>7</v>
      </c>
      <c r="C22" s="136">
        <v>223975684.03</v>
      </c>
      <c r="D22">
        <v>813</v>
      </c>
      <c r="E22">
        <v>71000000000</v>
      </c>
    </row>
    <row r="23" spans="1:7" x14ac:dyDescent="0.2">
      <c r="A23" s="128" t="s">
        <v>61</v>
      </c>
      <c r="B23">
        <v>7</v>
      </c>
      <c r="C23" s="135">
        <v>24976497.02</v>
      </c>
      <c r="D23">
        <v>887</v>
      </c>
      <c r="E23">
        <v>71000000000</v>
      </c>
      <c r="F23" s="134"/>
    </row>
    <row r="24" spans="1:7" x14ac:dyDescent="0.2">
      <c r="A24" s="128" t="s">
        <v>62</v>
      </c>
      <c r="B24">
        <v>64</v>
      </c>
      <c r="C24" s="135">
        <v>31424.83</v>
      </c>
      <c r="E24">
        <v>71000100070</v>
      </c>
      <c r="F24" s="134"/>
    </row>
    <row r="25" spans="1:7" x14ac:dyDescent="0.2">
      <c r="A25" s="128" t="s">
        <v>63</v>
      </c>
      <c r="B25">
        <v>71</v>
      </c>
      <c r="C25" s="135">
        <v>11000</v>
      </c>
      <c r="E25">
        <v>71000000000</v>
      </c>
      <c r="F25" s="134"/>
    </row>
    <row r="26" spans="1:7" x14ac:dyDescent="0.2">
      <c r="A26" s="128" t="s">
        <v>64</v>
      </c>
      <c r="B26">
        <v>7</v>
      </c>
      <c r="C26" s="135">
        <v>174168.18</v>
      </c>
      <c r="D26">
        <v>19</v>
      </c>
      <c r="E26">
        <v>73003000000</v>
      </c>
      <c r="F26" s="134"/>
    </row>
    <row r="27" spans="1:7" x14ac:dyDescent="0.2">
      <c r="A27" s="128" t="s">
        <v>66</v>
      </c>
      <c r="B27">
        <v>64</v>
      </c>
      <c r="C27" s="135">
        <v>1793591.61</v>
      </c>
      <c r="E27">
        <v>71000100493</v>
      </c>
      <c r="F27" s="134"/>
    </row>
    <row r="28" spans="1:7" x14ac:dyDescent="0.2">
      <c r="A28" s="128" t="s">
        <v>67</v>
      </c>
      <c r="B28">
        <v>64</v>
      </c>
      <c r="C28" s="135">
        <v>1433086.82</v>
      </c>
      <c r="E28">
        <v>71000100580</v>
      </c>
      <c r="F28" s="134"/>
    </row>
    <row r="29" spans="1:7" x14ac:dyDescent="0.2">
      <c r="A29" s="128" t="s">
        <v>68</v>
      </c>
      <c r="B29">
        <v>7</v>
      </c>
      <c r="C29" s="135">
        <v>8028426</v>
      </c>
      <c r="E29">
        <v>71000000000</v>
      </c>
      <c r="F29" s="134"/>
    </row>
    <row r="30" spans="1:7" x14ac:dyDescent="0.2">
      <c r="A30" s="128" t="s">
        <v>65</v>
      </c>
      <c r="B30">
        <v>7</v>
      </c>
      <c r="C30" s="135">
        <v>8511507.6600000001</v>
      </c>
      <c r="E30">
        <v>71000000000</v>
      </c>
      <c r="F30" s="135" t="s">
        <v>71</v>
      </c>
      <c r="G30" s="127">
        <f>SUM(C9:C30)</f>
        <v>510782243.04000002</v>
      </c>
    </row>
    <row r="31" spans="1:7" x14ac:dyDescent="0.2">
      <c r="A31" s="128" t="s">
        <v>69</v>
      </c>
      <c r="B31">
        <v>7</v>
      </c>
      <c r="C31" s="135">
        <v>62860</v>
      </c>
      <c r="D31">
        <v>19</v>
      </c>
      <c r="E31">
        <v>73001000000</v>
      </c>
      <c r="F31" s="127"/>
      <c r="G31" s="127"/>
    </row>
    <row r="32" spans="1:7" x14ac:dyDescent="0.2">
      <c r="A32" s="129" t="s">
        <v>70</v>
      </c>
      <c r="B32">
        <v>10</v>
      </c>
      <c r="C32" s="135">
        <v>11618</v>
      </c>
      <c r="D32">
        <v>19</v>
      </c>
      <c r="E32">
        <v>71000000000</v>
      </c>
      <c r="F32" s="130"/>
      <c r="G32" s="127"/>
    </row>
    <row r="33" spans="1:7" x14ac:dyDescent="0.2">
      <c r="A33" s="129" t="s">
        <v>70</v>
      </c>
      <c r="B33">
        <v>10</v>
      </c>
      <c r="C33" s="135">
        <v>14430.49</v>
      </c>
      <c r="D33">
        <v>19</v>
      </c>
      <c r="E33">
        <v>71000000000</v>
      </c>
      <c r="F33" s="127" t="s">
        <v>72</v>
      </c>
      <c r="G33" s="127">
        <f>SUM(C31:C33)</f>
        <v>88908.49</v>
      </c>
    </row>
    <row r="34" spans="1:7" x14ac:dyDescent="0.2">
      <c r="A34" s="129" t="s">
        <v>78</v>
      </c>
      <c r="B34">
        <v>7</v>
      </c>
      <c r="C34" s="135">
        <v>1716423.13</v>
      </c>
      <c r="D34">
        <v>19</v>
      </c>
      <c r="E34">
        <v>73000000000</v>
      </c>
      <c r="F34" s="127" t="s">
        <v>75</v>
      </c>
      <c r="G34" s="127">
        <f>C34</f>
        <v>1716423.13</v>
      </c>
    </row>
    <row r="35" spans="1:7" x14ac:dyDescent="0.2">
      <c r="A35" s="129" t="s">
        <v>79</v>
      </c>
      <c r="B35">
        <v>99</v>
      </c>
      <c r="C35" s="135">
        <v>25196737.460000001</v>
      </c>
      <c r="E35">
        <v>71000000000</v>
      </c>
      <c r="F35" s="127"/>
      <c r="G35" s="127"/>
    </row>
    <row r="36" spans="1:7" x14ac:dyDescent="0.2">
      <c r="A36" s="129" t="s">
        <v>80</v>
      </c>
      <c r="B36">
        <v>7</v>
      </c>
      <c r="C36" s="135">
        <v>168935624.75</v>
      </c>
      <c r="D36">
        <v>24</v>
      </c>
      <c r="E36">
        <v>71000000000</v>
      </c>
      <c r="F36" s="127"/>
      <c r="G36" s="127"/>
    </row>
    <row r="37" spans="1:7" x14ac:dyDescent="0.2">
      <c r="A37" s="129" t="s">
        <v>80</v>
      </c>
      <c r="B37">
        <v>7</v>
      </c>
      <c r="C37" s="135">
        <v>19089.3</v>
      </c>
      <c r="D37">
        <v>25</v>
      </c>
      <c r="E37">
        <v>71000000000</v>
      </c>
      <c r="F37" s="127" t="s">
        <v>76</v>
      </c>
      <c r="G37" s="127">
        <f>C35+C36+C37</f>
        <v>194151451.51000002</v>
      </c>
    </row>
    <row r="38" spans="1:7" x14ac:dyDescent="0.2">
      <c r="A38" s="129" t="s">
        <v>81</v>
      </c>
      <c r="B38">
        <v>199</v>
      </c>
      <c r="C38" s="135">
        <v>771707.14</v>
      </c>
      <c r="E38">
        <v>71000000000</v>
      </c>
      <c r="F38" s="127" t="s">
        <v>77</v>
      </c>
      <c r="G38" s="127">
        <f>C38</f>
        <v>771707.14</v>
      </c>
    </row>
    <row r="39" spans="1:7" x14ac:dyDescent="0.2">
      <c r="A39" s="129"/>
      <c r="C39" s="135"/>
      <c r="F39" s="127"/>
      <c r="G39" s="127"/>
    </row>
    <row r="40" spans="1:7" x14ac:dyDescent="0.2">
      <c r="A40" s="129"/>
      <c r="C40" s="135"/>
      <c r="F40" s="127"/>
      <c r="G40" s="127"/>
    </row>
    <row r="41" spans="1:7" x14ac:dyDescent="0.2">
      <c r="A41" s="129"/>
      <c r="C41" s="135"/>
      <c r="F41" s="127"/>
      <c r="G41" s="127"/>
    </row>
    <row r="42" spans="1:7" x14ac:dyDescent="0.2">
      <c r="A42" s="129"/>
      <c r="C42" s="135"/>
      <c r="F42" s="127"/>
      <c r="G42" s="127"/>
    </row>
    <row r="43" spans="1:7" x14ac:dyDescent="0.2">
      <c r="A43" s="129"/>
      <c r="C43" s="135"/>
      <c r="F43" s="127"/>
      <c r="G43" s="127"/>
    </row>
    <row r="44" spans="1:7" x14ac:dyDescent="0.2">
      <c r="A44" s="129"/>
      <c r="C44" s="135">
        <f>G30+G33+G34+G37+G38</f>
        <v>707510733.31000006</v>
      </c>
      <c r="F44" s="127"/>
      <c r="G44" s="127"/>
    </row>
    <row r="45" spans="1:7" x14ac:dyDescent="0.2">
      <c r="A45" s="129"/>
      <c r="C45" s="135"/>
      <c r="F45" s="127"/>
      <c r="G45" s="127"/>
    </row>
    <row r="46" spans="1:7" x14ac:dyDescent="0.2">
      <c r="A46" s="129"/>
      <c r="C46" s="127"/>
      <c r="F46" s="127"/>
      <c r="G46" s="127"/>
    </row>
    <row r="47" spans="1:7" x14ac:dyDescent="0.2">
      <c r="A47" s="129"/>
      <c r="C47" s="127"/>
      <c r="F47" s="127"/>
      <c r="G47" s="127"/>
    </row>
    <row r="48" spans="1:7" x14ac:dyDescent="0.2">
      <c r="A48" s="126"/>
      <c r="C48" s="130">
        <f>C3+C44</f>
        <v>868924733.31000006</v>
      </c>
      <c r="G48" s="127"/>
    </row>
    <row r="49" spans="3:7" x14ac:dyDescent="0.2">
      <c r="C49" s="127"/>
      <c r="G49" s="127"/>
    </row>
    <row r="50" spans="3:7" x14ac:dyDescent="0.2">
      <c r="G50" s="1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7" t="s">
        <v>82</v>
      </c>
      <c r="B1" s="88"/>
      <c r="C1" s="88"/>
      <c r="D1" s="88"/>
      <c r="E1" s="89"/>
      <c r="F1" s="89"/>
      <c r="G1" s="89"/>
      <c r="H1" s="89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 t="s">
        <v>31</v>
      </c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89"/>
      <c r="H4" s="162" t="s">
        <v>73</v>
      </c>
    </row>
    <row r="5" spans="1:21" s="90" customFormat="1" ht="14.25" customHeight="1" thickTop="1" thickBot="1" x14ac:dyDescent="0.25">
      <c r="A5" s="159"/>
      <c r="B5" s="160"/>
      <c r="C5" s="160"/>
      <c r="D5" s="161"/>
      <c r="E5" s="3" t="s">
        <v>2</v>
      </c>
      <c r="F5" s="3" t="s">
        <v>3</v>
      </c>
      <c r="G5" s="3" t="s">
        <v>4</v>
      </c>
      <c r="H5" s="5" t="s">
        <v>5</v>
      </c>
    </row>
    <row r="6" spans="1:21" s="90" customFormat="1" ht="14.25" customHeight="1" thickTop="1" thickBot="1" x14ac:dyDescent="0.25">
      <c r="A6" s="551">
        <v>1</v>
      </c>
      <c r="B6" s="552"/>
      <c r="C6" s="552"/>
      <c r="D6" s="553"/>
      <c r="E6" s="148">
        <v>2</v>
      </c>
      <c r="F6" s="148">
        <v>3</v>
      </c>
      <c r="G6" s="148">
        <v>4</v>
      </c>
      <c r="H6" s="149" t="s">
        <v>6</v>
      </c>
    </row>
    <row r="7" spans="1:21" s="93" customFormat="1" ht="16.5" thickTop="1" x14ac:dyDescent="0.25">
      <c r="A7" s="111" t="s">
        <v>32</v>
      </c>
      <c r="B7" s="112"/>
      <c r="C7" s="112"/>
      <c r="D7" s="137"/>
      <c r="E7" s="141" t="e">
        <f>'Příjmy OK - příloha č. 2'!#REF!</f>
        <v>#REF!</v>
      </c>
      <c r="F7" s="141" t="e">
        <f>'Příjmy OK - příloha č. 2'!#REF!</f>
        <v>#REF!</v>
      </c>
      <c r="G7" s="141" t="e">
        <f>'Příjmy OK - příloha č. 2'!#REF!</f>
        <v>#REF!</v>
      </c>
      <c r="H7" s="113" t="e">
        <f>(G7/F7)*100</f>
        <v>#REF!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5" x14ac:dyDescent="0.2">
      <c r="A8" s="114" t="s">
        <v>83</v>
      </c>
      <c r="B8" s="115"/>
      <c r="C8" s="115"/>
      <c r="D8" s="138"/>
      <c r="E8" s="142"/>
      <c r="F8" s="142"/>
      <c r="G8" s="146"/>
      <c r="H8" s="116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5.75" x14ac:dyDescent="0.25">
      <c r="A9" s="117" t="s">
        <v>33</v>
      </c>
      <c r="B9" s="118"/>
      <c r="C9" s="118"/>
      <c r="D9" s="139"/>
      <c r="E9" s="143" t="e">
        <f>'Výdaje OK - příloha č. 2'!#REF!+'Výdaje OK - příloha č. 2'!#REF!</f>
        <v>#REF!</v>
      </c>
      <c r="F9" s="143" t="e">
        <f>'Výdaje OK - příloha č. 2'!#REF!+'Výdaje OK - příloha č. 2'!#REF!</f>
        <v>#REF!</v>
      </c>
      <c r="G9" s="143" t="e">
        <f>'Výdaje OK - příloha č. 2'!#REF!+'Výdaje OK - příloha č. 2'!#REF!</f>
        <v>#REF!</v>
      </c>
      <c r="H9" s="119" t="e">
        <f>(G9/F9)*100</f>
        <v>#REF!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15" x14ac:dyDescent="0.2">
      <c r="A10" s="218" t="s">
        <v>84</v>
      </c>
      <c r="B10" s="118"/>
      <c r="C10" s="118"/>
      <c r="D10" s="140"/>
      <c r="E10" s="144"/>
      <c r="F10" s="145"/>
      <c r="G10" s="147"/>
      <c r="H10" s="12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s="93" customFormat="1" ht="21.75" customHeight="1" thickBot="1" x14ac:dyDescent="0.3">
      <c r="A11" s="94" t="s">
        <v>34</v>
      </c>
      <c r="B11" s="95"/>
      <c r="C11" s="95"/>
      <c r="D11" s="95"/>
      <c r="E11" s="96"/>
      <c r="F11" s="97"/>
      <c r="G11" s="150" t="e">
        <f>G7-G9</f>
        <v>#REF!</v>
      </c>
      <c r="H11" s="98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1:21" ht="13.5" thickTop="1" x14ac:dyDescent="0.2"/>
    <row r="37" spans="1:8" ht="15" x14ac:dyDescent="0.25">
      <c r="A37" s="100" t="s">
        <v>37</v>
      </c>
      <c r="B37" s="90"/>
      <c r="C37" s="90"/>
      <c r="D37" s="90"/>
      <c r="E37" s="101"/>
      <c r="F37" s="89"/>
      <c r="G37" s="89"/>
      <c r="H37" s="4"/>
    </row>
    <row r="38" spans="1:8" ht="15.75" thickBot="1" x14ac:dyDescent="0.3">
      <c r="A38" s="100"/>
      <c r="B38" s="90"/>
      <c r="C38" s="90"/>
      <c r="D38" s="90"/>
      <c r="E38" s="101"/>
      <c r="F38" s="89"/>
      <c r="G38" s="89"/>
      <c r="H38" s="162" t="s">
        <v>73</v>
      </c>
    </row>
    <row r="39" spans="1:8" s="90" customFormat="1" ht="14.25" customHeight="1" thickTop="1" thickBot="1" x14ac:dyDescent="0.25">
      <c r="A39" s="159"/>
      <c r="B39" s="160"/>
      <c r="C39" s="160"/>
      <c r="D39" s="161"/>
      <c r="E39" s="3" t="s">
        <v>2</v>
      </c>
      <c r="F39" s="3" t="s">
        <v>3</v>
      </c>
      <c r="G39" s="3" t="s">
        <v>4</v>
      </c>
      <c r="H39" s="5" t="s">
        <v>5</v>
      </c>
    </row>
    <row r="40" spans="1:8" s="90" customFormat="1" ht="14.25" customHeight="1" thickTop="1" thickBot="1" x14ac:dyDescent="0.25">
      <c r="A40" s="551">
        <v>1</v>
      </c>
      <c r="B40" s="552"/>
      <c r="C40" s="552"/>
      <c r="D40" s="553"/>
      <c r="E40" s="148">
        <v>2</v>
      </c>
      <c r="F40" s="148">
        <v>3</v>
      </c>
      <c r="G40" s="148">
        <v>4</v>
      </c>
      <c r="H40" s="149" t="s">
        <v>6</v>
      </c>
    </row>
    <row r="41" spans="1:8" ht="20.25" thickTop="1" x14ac:dyDescent="0.4">
      <c r="A41" s="102" t="s">
        <v>38</v>
      </c>
      <c r="B41" s="103"/>
      <c r="C41" s="103"/>
      <c r="D41" s="104"/>
      <c r="E41" s="151" t="e">
        <f>'Příjmy OK - příloha č. 2'!#REF!</f>
        <v>#REF!</v>
      </c>
      <c r="F41" s="151" t="e">
        <f>'Příjmy OK - příloha č. 2'!#REF!</f>
        <v>#REF!</v>
      </c>
      <c r="G41" s="151" t="e">
        <f>'Příjmy OK - příloha č. 2'!#REF!</f>
        <v>#REF!</v>
      </c>
      <c r="H41" s="154" t="e">
        <f>(G41/F41)*100</f>
        <v>#REF!</v>
      </c>
    </row>
    <row r="42" spans="1:8" ht="19.5" x14ac:dyDescent="0.4">
      <c r="A42" s="105" t="s">
        <v>39</v>
      </c>
      <c r="B42" s="106"/>
      <c r="C42" s="106"/>
      <c r="D42" s="107"/>
      <c r="E42" s="152" t="e">
        <f>'Výdaje OK - příloha č. 2'!#REF!</f>
        <v>#REF!</v>
      </c>
      <c r="F42" s="152" t="e">
        <f>'Výdaje OK - příloha č. 2'!#REF!</f>
        <v>#REF!</v>
      </c>
      <c r="G42" s="152" t="e">
        <f>'Výdaje OK - příloha č. 2'!#REF!</f>
        <v>#REF!</v>
      </c>
      <c r="H42" s="153" t="e">
        <f>(G42/F42)*100</f>
        <v>#REF!</v>
      </c>
    </row>
    <row r="43" spans="1:8" ht="25.5" customHeight="1" thickBot="1" x14ac:dyDescent="0.45">
      <c r="A43" s="170" t="s">
        <v>40</v>
      </c>
      <c r="B43" s="94"/>
      <c r="C43" s="94"/>
      <c r="D43" s="94"/>
      <c r="E43" s="94"/>
      <c r="F43" s="168"/>
      <c r="G43" s="169" t="e">
        <f>G41-G42</f>
        <v>#REF!</v>
      </c>
      <c r="H43" s="98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2024-08-20T08:27:20Z</cp:lastPrinted>
  <dcterms:created xsi:type="dcterms:W3CDTF">2010-11-26T09:05:32Z</dcterms:created>
  <dcterms:modified xsi:type="dcterms:W3CDTF">2024-11-26T10:22:56Z</dcterms:modified>
</cp:coreProperties>
</file>