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bory-Plnička\Rozbory hospodaření - 2024\Plnění rozpočtu k 30. 9. 2024\ZOK 16.12.2024\"/>
    </mc:Choice>
  </mc:AlternateContent>
  <xr:revisionPtr revIDLastSave="0" documentId="13_ncr:1_{B3FEF0CF-2F06-4C24-BDD2-B77618238F91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stránky" sheetId="3" r:id="rId1"/>
    <sheet name="bilance " sheetId="4" state="hidden" r:id="rId2"/>
    <sheet name="bilance dle tříd" sheetId="15" r:id="rId3"/>
    <sheet name="a) Příjmy" sheetId="7" state="hidden" r:id="rId4"/>
    <sheet name="b) Výdaje" sheetId="8" state="hidden" r:id="rId5"/>
    <sheet name="c) Dotační tituly" sheetId="9" state="hidden" r:id="rId6"/>
    <sheet name="d) Příspěvkové organizace" sheetId="10" state="hidden" r:id="rId7"/>
    <sheet name="e) FSP" sheetId="11" state="hidden" r:id="rId8"/>
    <sheet name="f) Fond voda" sheetId="12" state="hidden" r:id="rId9"/>
    <sheet name="g) Financování" sheetId="14" state="hidden" r:id="rId10"/>
    <sheet name="h) Investice" sheetId="13" state="hidden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_xlnm.Database">#REF!</definedName>
    <definedName name="Makro1">#N/A</definedName>
    <definedName name="_xlnm.Print_Titles" localSheetId="5">'c) Dotační tituly'!$3:$5</definedName>
    <definedName name="_xlnm.Print_Area" localSheetId="3">'a) Příjmy'!$A$1:$G$74</definedName>
    <definedName name="_xlnm.Print_Area" localSheetId="4">'b) Výdaje'!$A$1:$I$73</definedName>
    <definedName name="_xlnm.Print_Area" localSheetId="1">'bilance '!$A$1:$I$67</definedName>
    <definedName name="_xlnm.Print_Area" localSheetId="2">'bilance dle tříd'!$A$1:$I$43</definedName>
    <definedName name="_xlnm.Print_Area" localSheetId="5">'c) Dotační tituly'!$A$1:$H$121</definedName>
    <definedName name="_xlnm.Print_Area" localSheetId="6">'d) Příspěvkové organizace'!$A$1:$M$112</definedName>
    <definedName name="_xlnm.Print_Area" localSheetId="7">'e) FSP'!$A$1:$G$16</definedName>
    <definedName name="_xlnm.Print_Area" localSheetId="8">'f) Fond voda'!$A$1:$G$36</definedName>
    <definedName name="_xlnm.Print_Area" localSheetId="9">'g) Financování'!$B$1:$H$41</definedName>
    <definedName name="_xlnm.Print_Area" localSheetId="10">'h) Investice'!$A$1:$H$18</definedName>
    <definedName name="_xlnm.Print_Area" localSheetId="0">stránky!$A$1:$I$90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3" l="1"/>
  <c r="E22" i="15" l="1"/>
  <c r="H64" i="4" l="1"/>
  <c r="G39" i="14"/>
  <c r="G38" i="14" s="1"/>
  <c r="G28" i="14" s="1"/>
  <c r="H28" i="14" s="1"/>
  <c r="G33" i="14"/>
  <c r="G32" i="14"/>
  <c r="G27" i="14" s="1"/>
  <c r="F29" i="14"/>
  <c r="E29" i="14"/>
  <c r="F12" i="14"/>
  <c r="E12" i="14"/>
  <c r="G11" i="14"/>
  <c r="H10" i="14"/>
  <c r="G9" i="14"/>
  <c r="G12" i="14" s="1"/>
  <c r="C13" i="13"/>
  <c r="G12" i="13"/>
  <c r="D12" i="13"/>
  <c r="G11" i="13"/>
  <c r="F11" i="13"/>
  <c r="D11" i="13"/>
  <c r="G10" i="13"/>
  <c r="D10" i="13"/>
  <c r="G9" i="13"/>
  <c r="I9" i="13" s="1"/>
  <c r="G8" i="13"/>
  <c r="F8" i="13"/>
  <c r="E8" i="13"/>
  <c r="G7" i="13"/>
  <c r="I7" i="13" s="1"/>
  <c r="G6" i="13"/>
  <c r="F6" i="13"/>
  <c r="G5" i="13"/>
  <c r="I5" i="13" s="1"/>
  <c r="H56" i="4"/>
  <c r="H55" i="4"/>
  <c r="H54" i="4"/>
  <c r="H53" i="4"/>
  <c r="H52" i="4"/>
  <c r="H51" i="4"/>
  <c r="H50" i="4"/>
  <c r="H49" i="4"/>
  <c r="H48" i="4"/>
  <c r="H47" i="4"/>
  <c r="H46" i="4"/>
  <c r="I10" i="13" l="1"/>
  <c r="J8" i="13"/>
  <c r="J6" i="13"/>
  <c r="H12" i="13"/>
  <c r="J12" i="13" s="1"/>
  <c r="J11" i="13"/>
  <c r="H12" i="14"/>
  <c r="F13" i="13"/>
  <c r="G13" i="13"/>
  <c r="I13" i="13"/>
  <c r="G16" i="13" s="1"/>
  <c r="G29" i="14"/>
  <c r="H29" i="14" s="1"/>
  <c r="H27" i="14"/>
  <c r="H9" i="14"/>
  <c r="H7" i="13"/>
  <c r="H9" i="13"/>
  <c r="H10" i="13"/>
  <c r="D13" i="13"/>
  <c r="H5" i="13"/>
  <c r="H6" i="13"/>
  <c r="H8" i="13"/>
  <c r="H11" i="13"/>
  <c r="E13" i="13"/>
  <c r="J13" i="13" l="1"/>
  <c r="G14" i="13"/>
  <c r="H13" i="13"/>
  <c r="I14" i="13" l="1"/>
  <c r="G17" i="13"/>
  <c r="G18" i="13" s="1"/>
  <c r="G13" i="12"/>
  <c r="G12" i="12"/>
  <c r="G11" i="12"/>
  <c r="F15" i="12"/>
  <c r="G30" i="15" s="1"/>
  <c r="E15" i="12"/>
  <c r="H44" i="4"/>
  <c r="D15" i="12" l="1"/>
  <c r="G15" i="12" l="1"/>
  <c r="E30" i="15"/>
  <c r="H43" i="4"/>
  <c r="G14" i="11"/>
  <c r="G13" i="11"/>
  <c r="G12" i="11"/>
  <c r="G11" i="11"/>
  <c r="G10" i="11"/>
  <c r="E15" i="11"/>
  <c r="D15" i="11"/>
  <c r="E21" i="15" s="1"/>
  <c r="G9" i="11"/>
  <c r="F15" i="11" l="1"/>
  <c r="G15" i="11" s="1"/>
  <c r="J110" i="10" l="1"/>
  <c r="G109" i="10"/>
  <c r="G111" i="10" s="1"/>
  <c r="G104" i="10"/>
  <c r="J95" i="10"/>
  <c r="I89" i="10"/>
  <c r="G86" i="10"/>
  <c r="J85" i="10"/>
  <c r="J79" i="10" s="1"/>
  <c r="G85" i="10"/>
  <c r="G84" i="10"/>
  <c r="G83" i="10"/>
  <c r="G71" i="10"/>
  <c r="K68" i="10"/>
  <c r="I68" i="10"/>
  <c r="H68" i="10"/>
  <c r="K67" i="10"/>
  <c r="I67" i="10"/>
  <c r="H67" i="10"/>
  <c r="G67" i="10"/>
  <c r="K66" i="10"/>
  <c r="I66" i="10"/>
  <c r="H66" i="10"/>
  <c r="G66" i="10"/>
  <c r="G90" i="10" s="1"/>
  <c r="J65" i="10"/>
  <c r="K64" i="10"/>
  <c r="I64" i="10"/>
  <c r="H64" i="10"/>
  <c r="G64" i="10"/>
  <c r="K63" i="10"/>
  <c r="I63" i="10"/>
  <c r="H63" i="10"/>
  <c r="G63" i="10"/>
  <c r="K62" i="10"/>
  <c r="I62" i="10"/>
  <c r="H62" i="10"/>
  <c r="G62" i="10"/>
  <c r="K61" i="10"/>
  <c r="I61" i="10"/>
  <c r="H61" i="10"/>
  <c r="G61" i="10"/>
  <c r="K60" i="10"/>
  <c r="I60" i="10"/>
  <c r="H60" i="10"/>
  <c r="K59" i="10"/>
  <c r="I59" i="10"/>
  <c r="H59" i="10"/>
  <c r="K58" i="10"/>
  <c r="I58" i="10"/>
  <c r="H58" i="10"/>
  <c r="G58" i="10"/>
  <c r="J57" i="10"/>
  <c r="K56" i="10"/>
  <c r="K94" i="10" s="1"/>
  <c r="I56" i="10"/>
  <c r="I54" i="10" s="1"/>
  <c r="H56" i="10"/>
  <c r="H54" i="10" s="1"/>
  <c r="K55" i="10"/>
  <c r="K93" i="10" s="1"/>
  <c r="L93" i="10" s="1"/>
  <c r="K53" i="10"/>
  <c r="K89" i="10" s="1"/>
  <c r="H53" i="10"/>
  <c r="H89" i="10" s="1"/>
  <c r="G53" i="10"/>
  <c r="K52" i="10"/>
  <c r="J52" i="10"/>
  <c r="J42" i="10" s="1"/>
  <c r="I52" i="10"/>
  <c r="H52" i="10"/>
  <c r="G52" i="10"/>
  <c r="K51" i="10"/>
  <c r="I51" i="10"/>
  <c r="H51" i="10"/>
  <c r="G51" i="10"/>
  <c r="K50" i="10"/>
  <c r="I50" i="10"/>
  <c r="H50" i="10"/>
  <c r="K49" i="10"/>
  <c r="I49" i="10"/>
  <c r="I85" i="10" s="1"/>
  <c r="H49" i="10"/>
  <c r="K48" i="10"/>
  <c r="K84" i="10" s="1"/>
  <c r="I48" i="10"/>
  <c r="I84" i="10" s="1"/>
  <c r="H48" i="10"/>
  <c r="H84" i="10" s="1"/>
  <c r="K47" i="10"/>
  <c r="I47" i="10"/>
  <c r="H47" i="10"/>
  <c r="G47" i="10"/>
  <c r="K46" i="10"/>
  <c r="I46" i="10"/>
  <c r="H46" i="10"/>
  <c r="K45" i="10"/>
  <c r="I45" i="10"/>
  <c r="H45" i="10"/>
  <c r="K44" i="10"/>
  <c r="I44" i="10"/>
  <c r="H44" i="10"/>
  <c r="G44" i="10"/>
  <c r="K41" i="10"/>
  <c r="I41" i="10"/>
  <c r="I102" i="10" s="1"/>
  <c r="H41" i="10"/>
  <c r="H102" i="10" s="1"/>
  <c r="K40" i="10"/>
  <c r="I40" i="10"/>
  <c r="I101" i="10" s="1"/>
  <c r="H40" i="10"/>
  <c r="H101" i="10" s="1"/>
  <c r="K39" i="10"/>
  <c r="K100" i="10" s="1"/>
  <c r="I39" i="10"/>
  <c r="I100" i="10" s="1"/>
  <c r="H39" i="10"/>
  <c r="H100" i="10" s="1"/>
  <c r="K38" i="10"/>
  <c r="K99" i="10" s="1"/>
  <c r="I38" i="10"/>
  <c r="I99" i="10" s="1"/>
  <c r="H38" i="10"/>
  <c r="G38" i="10"/>
  <c r="G99" i="10" s="1"/>
  <c r="K37" i="10"/>
  <c r="I37" i="10"/>
  <c r="I98" i="10" s="1"/>
  <c r="H37" i="10"/>
  <c r="H98" i="10" s="1"/>
  <c r="G37" i="10"/>
  <c r="G98" i="10" s="1"/>
  <c r="K36" i="10"/>
  <c r="K97" i="10" s="1"/>
  <c r="I36" i="10"/>
  <c r="I97" i="10" s="1"/>
  <c r="H36" i="10"/>
  <c r="G36" i="10"/>
  <c r="G97" i="10" s="1"/>
  <c r="K35" i="10"/>
  <c r="I35" i="10"/>
  <c r="I96" i="10" s="1"/>
  <c r="H35" i="10"/>
  <c r="H96" i="10" s="1"/>
  <c r="G35" i="10"/>
  <c r="G34" i="10" s="1"/>
  <c r="J34" i="10"/>
  <c r="K33" i="10"/>
  <c r="I33" i="10"/>
  <c r="H33" i="10"/>
  <c r="K32" i="10"/>
  <c r="I32" i="10"/>
  <c r="H32" i="10"/>
  <c r="K31" i="10"/>
  <c r="I31" i="10"/>
  <c r="H31" i="10"/>
  <c r="K30" i="10"/>
  <c r="I30" i="10"/>
  <c r="H30" i="10"/>
  <c r="K29" i="10"/>
  <c r="I29" i="10"/>
  <c r="H29" i="10"/>
  <c r="K28" i="10"/>
  <c r="I28" i="10"/>
  <c r="H28" i="10"/>
  <c r="K27" i="10"/>
  <c r="I27" i="10"/>
  <c r="H27" i="10"/>
  <c r="G27" i="10"/>
  <c r="J26" i="10"/>
  <c r="K24" i="10"/>
  <c r="J24" i="10"/>
  <c r="J17" i="10" s="1"/>
  <c r="I24" i="10"/>
  <c r="H24" i="10"/>
  <c r="G24" i="10"/>
  <c r="K23" i="10"/>
  <c r="I23" i="10"/>
  <c r="H23" i="10"/>
  <c r="K22" i="10"/>
  <c r="I22" i="10"/>
  <c r="H22" i="10"/>
  <c r="K21" i="10"/>
  <c r="I21" i="10"/>
  <c r="H21" i="10"/>
  <c r="K20" i="10"/>
  <c r="I20" i="10"/>
  <c r="H20" i="10"/>
  <c r="K19" i="10"/>
  <c r="I19" i="10"/>
  <c r="H19" i="10"/>
  <c r="K18" i="10"/>
  <c r="I18" i="10"/>
  <c r="H18" i="10"/>
  <c r="G18" i="10"/>
  <c r="K16" i="10"/>
  <c r="I16" i="10"/>
  <c r="H16" i="10"/>
  <c r="K15" i="10"/>
  <c r="I15" i="10"/>
  <c r="H15" i="10"/>
  <c r="K14" i="10"/>
  <c r="I14" i="10"/>
  <c r="H14" i="10"/>
  <c r="G14" i="10"/>
  <c r="K13" i="10"/>
  <c r="I13" i="10"/>
  <c r="H13" i="10"/>
  <c r="G13" i="10"/>
  <c r="K12" i="10"/>
  <c r="I12" i="10"/>
  <c r="H12" i="10"/>
  <c r="G12" i="10"/>
  <c r="K11" i="10"/>
  <c r="I11" i="10"/>
  <c r="H11" i="10"/>
  <c r="G11" i="10"/>
  <c r="K10" i="10"/>
  <c r="I10" i="10"/>
  <c r="H10" i="10"/>
  <c r="G10" i="10"/>
  <c r="G9" i="10" s="1"/>
  <c r="G70" i="10" s="1"/>
  <c r="G72" i="10" s="1"/>
  <c r="J9" i="10"/>
  <c r="H42" i="4"/>
  <c r="H41" i="4"/>
  <c r="H40" i="4"/>
  <c r="H36" i="4"/>
  <c r="H39" i="4"/>
  <c r="H38" i="4"/>
  <c r="H37" i="4"/>
  <c r="H35" i="4"/>
  <c r="H34" i="4"/>
  <c r="H33" i="4"/>
  <c r="H32" i="4"/>
  <c r="M50" i="10" l="1"/>
  <c r="L33" i="10"/>
  <c r="M53" i="10"/>
  <c r="I83" i="10"/>
  <c r="L15" i="10"/>
  <c r="L20" i="10"/>
  <c r="M22" i="10"/>
  <c r="M32" i="10"/>
  <c r="L19" i="10"/>
  <c r="L27" i="10"/>
  <c r="M62" i="10"/>
  <c r="M63" i="10"/>
  <c r="L64" i="10"/>
  <c r="M68" i="10"/>
  <c r="G42" i="10"/>
  <c r="L58" i="10"/>
  <c r="M27" i="10"/>
  <c r="L32" i="10"/>
  <c r="L35" i="10"/>
  <c r="M59" i="10"/>
  <c r="I82" i="10"/>
  <c r="L24" i="10"/>
  <c r="L10" i="10"/>
  <c r="M11" i="10"/>
  <c r="M13" i="10"/>
  <c r="L21" i="10"/>
  <c r="M36" i="10"/>
  <c r="L46" i="10"/>
  <c r="L47" i="10"/>
  <c r="I65" i="10"/>
  <c r="I90" i="10" s="1"/>
  <c r="J90" i="10" s="1"/>
  <c r="G80" i="10"/>
  <c r="G79" i="10" s="1"/>
  <c r="G103" i="10" s="1"/>
  <c r="G105" i="10" s="1"/>
  <c r="I43" i="10"/>
  <c r="I42" i="10" s="1"/>
  <c r="K43" i="10"/>
  <c r="M60" i="10"/>
  <c r="L84" i="10"/>
  <c r="H86" i="10"/>
  <c r="I34" i="10"/>
  <c r="L40" i="10"/>
  <c r="L53" i="10"/>
  <c r="I57" i="10"/>
  <c r="M10" i="10"/>
  <c r="I87" i="10"/>
  <c r="L45" i="10"/>
  <c r="L52" i="10"/>
  <c r="L68" i="10"/>
  <c r="I94" i="10"/>
  <c r="L13" i="10"/>
  <c r="K86" i="10"/>
  <c r="M86" i="10" s="1"/>
  <c r="L16" i="10"/>
  <c r="I81" i="10"/>
  <c r="L22" i="10"/>
  <c r="G17" i="10"/>
  <c r="L31" i="10"/>
  <c r="M38" i="10"/>
  <c r="M45" i="10"/>
  <c r="M46" i="10"/>
  <c r="M47" i="10"/>
  <c r="L50" i="10"/>
  <c r="I88" i="10"/>
  <c r="L55" i="10"/>
  <c r="L60" i="10"/>
  <c r="M61" i="10"/>
  <c r="H82" i="10"/>
  <c r="H83" i="10"/>
  <c r="M14" i="10"/>
  <c r="I17" i="10"/>
  <c r="J25" i="10"/>
  <c r="M28" i="10"/>
  <c r="L30" i="10"/>
  <c r="M100" i="10"/>
  <c r="H43" i="10"/>
  <c r="H42" i="10" s="1"/>
  <c r="L49" i="10"/>
  <c r="M51" i="10"/>
  <c r="K54" i="10"/>
  <c r="L59" i="10"/>
  <c r="L61" i="10"/>
  <c r="L67" i="10"/>
  <c r="J103" i="10"/>
  <c r="J105" i="10" s="1"/>
  <c r="J109" i="10"/>
  <c r="J111" i="10" s="1"/>
  <c r="M20" i="10"/>
  <c r="M39" i="10"/>
  <c r="H9" i="10"/>
  <c r="G26" i="10"/>
  <c r="G25" i="10" s="1"/>
  <c r="K9" i="10"/>
  <c r="I80" i="10"/>
  <c r="I9" i="10"/>
  <c r="H81" i="10"/>
  <c r="M12" i="10"/>
  <c r="I86" i="10"/>
  <c r="H88" i="10"/>
  <c r="H17" i="10"/>
  <c r="M18" i="10"/>
  <c r="K17" i="10"/>
  <c r="L18" i="10"/>
  <c r="M19" i="10"/>
  <c r="M23" i="10"/>
  <c r="L23" i="10"/>
  <c r="K26" i="10"/>
  <c r="I26" i="10"/>
  <c r="M31" i="10"/>
  <c r="K96" i="10"/>
  <c r="M35" i="10"/>
  <c r="K34" i="10"/>
  <c r="L39" i="10"/>
  <c r="K101" i="10"/>
  <c r="M40" i="10"/>
  <c r="M41" i="10"/>
  <c r="L41" i="10"/>
  <c r="L44" i="10"/>
  <c r="M67" i="10"/>
  <c r="M89" i="10"/>
  <c r="L89" i="10"/>
  <c r="M29" i="10"/>
  <c r="L29" i="10"/>
  <c r="H99" i="10"/>
  <c r="L38" i="10"/>
  <c r="M44" i="10"/>
  <c r="K92" i="10"/>
  <c r="G27" i="15" s="1"/>
  <c r="K110" i="10"/>
  <c r="L63" i="10"/>
  <c r="K81" i="10"/>
  <c r="K102" i="10"/>
  <c r="L48" i="10"/>
  <c r="L51" i="10"/>
  <c r="L56" i="10"/>
  <c r="M58" i="10"/>
  <c r="K57" i="10"/>
  <c r="H65" i="10"/>
  <c r="H90" i="10" s="1"/>
  <c r="K91" i="10"/>
  <c r="L91" i="10" s="1"/>
  <c r="M66" i="10"/>
  <c r="K65" i="10"/>
  <c r="L66" i="10"/>
  <c r="K80" i="10"/>
  <c r="K83" i="10"/>
  <c r="K85" i="10"/>
  <c r="K88" i="10"/>
  <c r="L88" i="10" s="1"/>
  <c r="H94" i="10"/>
  <c r="G96" i="10"/>
  <c r="G95" i="10" s="1"/>
  <c r="H26" i="10"/>
  <c r="L28" i="10"/>
  <c r="K98" i="10"/>
  <c r="M37" i="10"/>
  <c r="J70" i="10"/>
  <c r="J72" i="10" s="1"/>
  <c r="H80" i="10"/>
  <c r="L11" i="10"/>
  <c r="L12" i="10"/>
  <c r="H87" i="10"/>
  <c r="M15" i="10"/>
  <c r="I95" i="10"/>
  <c r="H97" i="10"/>
  <c r="L36" i="10"/>
  <c r="H34" i="10"/>
  <c r="L37" i="10"/>
  <c r="L100" i="10"/>
  <c r="M48" i="10"/>
  <c r="M49" i="10"/>
  <c r="M56" i="10"/>
  <c r="G57" i="10"/>
  <c r="H57" i="10"/>
  <c r="L62" i="10"/>
  <c r="M84" i="10"/>
  <c r="K87" i="10"/>
  <c r="M99" i="10"/>
  <c r="M16" i="10"/>
  <c r="K82" i="10"/>
  <c r="H85" i="10"/>
  <c r="L99" i="10"/>
  <c r="L14" i="10"/>
  <c r="L43" i="10" l="1"/>
  <c r="L81" i="10"/>
  <c r="H95" i="10"/>
  <c r="E20" i="15" s="1"/>
  <c r="K42" i="10"/>
  <c r="M42" i="10" s="1"/>
  <c r="I25" i="10"/>
  <c r="I70" i="10" s="1"/>
  <c r="I72" i="10" s="1"/>
  <c r="M43" i="10"/>
  <c r="L82" i="10"/>
  <c r="L86" i="10"/>
  <c r="M54" i="10"/>
  <c r="L54" i="10"/>
  <c r="I92" i="10"/>
  <c r="I110" i="10"/>
  <c r="M98" i="10"/>
  <c r="L98" i="10"/>
  <c r="L97" i="10"/>
  <c r="H79" i="10"/>
  <c r="E19" i="15" s="1"/>
  <c r="H110" i="10"/>
  <c r="H92" i="10"/>
  <c r="M92" i="10" s="1"/>
  <c r="M94" i="10"/>
  <c r="M80" i="10"/>
  <c r="L80" i="10"/>
  <c r="L34" i="10"/>
  <c r="M34" i="10"/>
  <c r="M81" i="10"/>
  <c r="M87" i="10"/>
  <c r="L87" i="10"/>
  <c r="M97" i="10"/>
  <c r="M85" i="10"/>
  <c r="L85" i="10"/>
  <c r="K90" i="10"/>
  <c r="M65" i="10"/>
  <c r="L65" i="10"/>
  <c r="L57" i="10"/>
  <c r="M57" i="10"/>
  <c r="M83" i="10"/>
  <c r="L83" i="10"/>
  <c r="L102" i="10"/>
  <c r="M102" i="10"/>
  <c r="M9" i="10"/>
  <c r="L9" i="10"/>
  <c r="H25" i="10"/>
  <c r="H70" i="10" s="1"/>
  <c r="H72" i="10" s="1"/>
  <c r="L94" i="10"/>
  <c r="M26" i="10"/>
  <c r="L26" i="10"/>
  <c r="K25" i="10"/>
  <c r="M101" i="10"/>
  <c r="L101" i="10"/>
  <c r="M96" i="10"/>
  <c r="K95" i="10"/>
  <c r="G20" i="15" s="1"/>
  <c r="L96" i="10"/>
  <c r="L17" i="10"/>
  <c r="M17" i="10"/>
  <c r="I79" i="10"/>
  <c r="M82" i="10"/>
  <c r="L42" i="10" l="1"/>
  <c r="L92" i="10"/>
  <c r="E27" i="15"/>
  <c r="H109" i="10"/>
  <c r="H111" i="10" s="1"/>
  <c r="H103" i="10"/>
  <c r="H105" i="10" s="1"/>
  <c r="I103" i="10"/>
  <c r="I105" i="10" s="1"/>
  <c r="I109" i="10"/>
  <c r="I111" i="10" s="1"/>
  <c r="M95" i="10"/>
  <c r="L95" i="10"/>
  <c r="L25" i="10"/>
  <c r="M25" i="10"/>
  <c r="L90" i="10"/>
  <c r="M90" i="10"/>
  <c r="K70" i="10"/>
  <c r="K79" i="10"/>
  <c r="G19" i="15" s="1"/>
  <c r="J21" i="15" s="1"/>
  <c r="K72" i="10" l="1"/>
  <c r="M72" i="10" s="1"/>
  <c r="L70" i="10"/>
  <c r="L72" i="10" s="1"/>
  <c r="M70" i="10"/>
  <c r="K103" i="10"/>
  <c r="L79" i="10"/>
  <c r="K109" i="10"/>
  <c r="K111" i="10" s="1"/>
  <c r="M79" i="10"/>
  <c r="K105" i="10" l="1"/>
  <c r="M105" i="10" s="1"/>
  <c r="M103" i="10"/>
  <c r="L103" i="10"/>
  <c r="L105" i="10" s="1"/>
  <c r="H66" i="4" l="1"/>
  <c r="G119" i="9" l="1"/>
  <c r="F119" i="9"/>
  <c r="E119" i="9"/>
  <c r="E26" i="15" s="1"/>
  <c r="G118" i="9"/>
  <c r="F118" i="9"/>
  <c r="E118" i="9"/>
  <c r="G113" i="9"/>
  <c r="E113" i="9"/>
  <c r="G111" i="9"/>
  <c r="G110" i="9" s="1"/>
  <c r="F111" i="9"/>
  <c r="F110" i="9" s="1"/>
  <c r="F113" i="9" s="1"/>
  <c r="E111" i="9"/>
  <c r="E110" i="9" s="1"/>
  <c r="G107" i="9"/>
  <c r="H107" i="9" s="1"/>
  <c r="G106" i="9"/>
  <c r="F105" i="9"/>
  <c r="E105" i="9"/>
  <c r="G104" i="9"/>
  <c r="H104" i="9" s="1"/>
  <c r="G103" i="9"/>
  <c r="F102" i="9"/>
  <c r="E102" i="9"/>
  <c r="G101" i="9"/>
  <c r="G100" i="9"/>
  <c r="F100" i="9"/>
  <c r="E100" i="9"/>
  <c r="G99" i="9"/>
  <c r="F99" i="9"/>
  <c r="E99" i="9"/>
  <c r="G98" i="9"/>
  <c r="F98" i="9"/>
  <c r="E98" i="9"/>
  <c r="G97" i="9"/>
  <c r="F97" i="9"/>
  <c r="E97" i="9"/>
  <c r="H94" i="9"/>
  <c r="G93" i="9"/>
  <c r="F93" i="9"/>
  <c r="E93" i="9"/>
  <c r="G91" i="9"/>
  <c r="E91" i="9"/>
  <c r="G90" i="9"/>
  <c r="F90" i="9"/>
  <c r="E90" i="9"/>
  <c r="G88" i="9"/>
  <c r="G87" i="9"/>
  <c r="F87" i="9"/>
  <c r="E87" i="9"/>
  <c r="G86" i="9"/>
  <c r="F86" i="9"/>
  <c r="E86" i="9"/>
  <c r="G85" i="9"/>
  <c r="E85" i="9"/>
  <c r="G84" i="9"/>
  <c r="F84" i="9"/>
  <c r="F83" i="9" s="1"/>
  <c r="E84" i="9"/>
  <c r="G82" i="9"/>
  <c r="F82" i="9"/>
  <c r="E82" i="9"/>
  <c r="E81" i="9"/>
  <c r="H81" i="9" s="1"/>
  <c r="G80" i="9"/>
  <c r="G79" i="9"/>
  <c r="F79" i="9"/>
  <c r="E79" i="9"/>
  <c r="G76" i="9"/>
  <c r="G74" i="9"/>
  <c r="G73" i="9"/>
  <c r="F73" i="9"/>
  <c r="E73" i="9"/>
  <c r="G72" i="9"/>
  <c r="F72" i="9"/>
  <c r="E72" i="9"/>
  <c r="G71" i="9"/>
  <c r="H71" i="9" s="1"/>
  <c r="G70" i="9"/>
  <c r="H70" i="9" s="1"/>
  <c r="G69" i="9"/>
  <c r="F68" i="9"/>
  <c r="E68" i="9"/>
  <c r="G66" i="9"/>
  <c r="F66" i="9"/>
  <c r="E66" i="9"/>
  <c r="G65" i="9"/>
  <c r="F65" i="9"/>
  <c r="E65" i="9"/>
  <c r="G64" i="9"/>
  <c r="F64" i="9"/>
  <c r="E64" i="9"/>
  <c r="G62" i="9"/>
  <c r="F62" i="9"/>
  <c r="E62" i="9"/>
  <c r="G61" i="9"/>
  <c r="F61" i="9"/>
  <c r="E61" i="9"/>
  <c r="G60" i="9"/>
  <c r="F60" i="9"/>
  <c r="E60" i="9"/>
  <c r="G59" i="9"/>
  <c r="F59" i="9"/>
  <c r="E59" i="9"/>
  <c r="G58" i="9"/>
  <c r="F58" i="9"/>
  <c r="E58" i="9"/>
  <c r="G56" i="9"/>
  <c r="F56" i="9"/>
  <c r="E56" i="9"/>
  <c r="G55" i="9"/>
  <c r="F55" i="9"/>
  <c r="E55" i="9"/>
  <c r="G54" i="9"/>
  <c r="F54" i="9"/>
  <c r="E54" i="9"/>
  <c r="G53" i="9"/>
  <c r="F53" i="9"/>
  <c r="E53" i="9"/>
  <c r="G52" i="9"/>
  <c r="F52" i="9"/>
  <c r="E52" i="9"/>
  <c r="G51" i="9"/>
  <c r="F51" i="9"/>
  <c r="E51" i="9"/>
  <c r="G47" i="9"/>
  <c r="F47" i="9"/>
  <c r="E47" i="9"/>
  <c r="G46" i="9"/>
  <c r="F46" i="9"/>
  <c r="E46" i="9"/>
  <c r="G45" i="9"/>
  <c r="E45" i="9"/>
  <c r="H42" i="9"/>
  <c r="G41" i="9"/>
  <c r="G40" i="9"/>
  <c r="H40" i="9" s="1"/>
  <c r="G39" i="9"/>
  <c r="H39" i="9" s="1"/>
  <c r="G38" i="9"/>
  <c r="F37" i="9"/>
  <c r="E37" i="9"/>
  <c r="E36" i="9" s="1"/>
  <c r="F36" i="9"/>
  <c r="G35" i="9"/>
  <c r="E35" i="9"/>
  <c r="G34" i="9"/>
  <c r="F34" i="9"/>
  <c r="E34" i="9"/>
  <c r="G33" i="9"/>
  <c r="F33" i="9"/>
  <c r="E33" i="9"/>
  <c r="G32" i="9"/>
  <c r="F32" i="9"/>
  <c r="E32" i="9"/>
  <c r="G30" i="9"/>
  <c r="H30" i="9" s="1"/>
  <c r="G29" i="9"/>
  <c r="H29" i="9" s="1"/>
  <c r="G28" i="9"/>
  <c r="F28" i="9"/>
  <c r="E28" i="9"/>
  <c r="G26" i="9"/>
  <c r="G25" i="9"/>
  <c r="G24" i="9"/>
  <c r="E24" i="9"/>
  <c r="E21" i="9" s="1"/>
  <c r="G23" i="9"/>
  <c r="H23" i="9" s="1"/>
  <c r="G22" i="9"/>
  <c r="H22" i="9" s="1"/>
  <c r="F21" i="9"/>
  <c r="G20" i="9"/>
  <c r="H20" i="9" s="1"/>
  <c r="G19" i="9"/>
  <c r="H19" i="9" s="1"/>
  <c r="G18" i="9"/>
  <c r="F18" i="9"/>
  <c r="E18" i="9"/>
  <c r="G16" i="9"/>
  <c r="H16" i="9" s="1"/>
  <c r="G15" i="9"/>
  <c r="E15" i="9"/>
  <c r="E14" i="9" s="1"/>
  <c r="F14" i="9"/>
  <c r="G13" i="9"/>
  <c r="E13" i="9"/>
  <c r="G12" i="9"/>
  <c r="F12" i="9"/>
  <c r="F10" i="9" s="1"/>
  <c r="E12" i="9"/>
  <c r="G11" i="9"/>
  <c r="E11" i="9"/>
  <c r="G9" i="9"/>
  <c r="F9" i="9"/>
  <c r="E9" i="9"/>
  <c r="G8" i="9"/>
  <c r="F8" i="9"/>
  <c r="E8" i="9"/>
  <c r="H29" i="4"/>
  <c r="F120" i="9" l="1"/>
  <c r="H84" i="9"/>
  <c r="H90" i="9"/>
  <c r="F44" i="9"/>
  <c r="H85" i="9"/>
  <c r="E63" i="9"/>
  <c r="F78" i="9"/>
  <c r="F96" i="9"/>
  <c r="F95" i="9" s="1"/>
  <c r="H98" i="9"/>
  <c r="H82" i="9"/>
  <c r="H86" i="9"/>
  <c r="H93" i="9"/>
  <c r="H97" i="9"/>
  <c r="E17" i="9"/>
  <c r="E78" i="9"/>
  <c r="E67" i="9"/>
  <c r="G83" i="9"/>
  <c r="E7" i="9"/>
  <c r="F7" i="9"/>
  <c r="F6" i="9" s="1"/>
  <c r="H9" i="9"/>
  <c r="H53" i="9"/>
  <c r="G68" i="9"/>
  <c r="G67" i="9" s="1"/>
  <c r="H100" i="9"/>
  <c r="E31" i="9"/>
  <c r="H8" i="9"/>
  <c r="H12" i="9"/>
  <c r="E96" i="9"/>
  <c r="E95" i="9" s="1"/>
  <c r="H99" i="9"/>
  <c r="F31" i="9"/>
  <c r="G57" i="9"/>
  <c r="F67" i="9"/>
  <c r="H73" i="9"/>
  <c r="H35" i="9"/>
  <c r="H45" i="9"/>
  <c r="H61" i="9"/>
  <c r="F89" i="9"/>
  <c r="G102" i="9"/>
  <c r="H102" i="9" s="1"/>
  <c r="G105" i="9"/>
  <c r="H105" i="9" s="1"/>
  <c r="H15" i="9"/>
  <c r="H60" i="9"/>
  <c r="G96" i="9"/>
  <c r="H119" i="9"/>
  <c r="G26" i="15"/>
  <c r="E50" i="9"/>
  <c r="F50" i="9"/>
  <c r="F57" i="9"/>
  <c r="F63" i="9"/>
  <c r="H65" i="9"/>
  <c r="H72" i="9"/>
  <c r="H118" i="9"/>
  <c r="G18" i="15"/>
  <c r="G7" i="9"/>
  <c r="H7" i="9" s="1"/>
  <c r="H32" i="9"/>
  <c r="H52" i="9"/>
  <c r="H56" i="9"/>
  <c r="H64" i="9"/>
  <c r="H18" i="9"/>
  <c r="F17" i="9"/>
  <c r="E57" i="9"/>
  <c r="G78" i="9"/>
  <c r="H78" i="9" s="1"/>
  <c r="E120" i="9"/>
  <c r="E18" i="15"/>
  <c r="H11" i="9"/>
  <c r="H13" i="9"/>
  <c r="E44" i="9"/>
  <c r="H91" i="9"/>
  <c r="H113" i="9"/>
  <c r="G21" i="9"/>
  <c r="H21" i="9" s="1"/>
  <c r="G37" i="9"/>
  <c r="G36" i="9" s="1"/>
  <c r="H36" i="9" s="1"/>
  <c r="H47" i="9"/>
  <c r="H51" i="9"/>
  <c r="H55" i="9"/>
  <c r="H59" i="9"/>
  <c r="G63" i="9"/>
  <c r="E89" i="9"/>
  <c r="H110" i="9"/>
  <c r="E10" i="9"/>
  <c r="H34" i="9"/>
  <c r="H24" i="9"/>
  <c r="H33" i="9"/>
  <c r="H38" i="9"/>
  <c r="H46" i="9"/>
  <c r="G50" i="9"/>
  <c r="H54" i="9"/>
  <c r="H58" i="9"/>
  <c r="H62" i="9"/>
  <c r="H66" i="9"/>
  <c r="H79" i="9"/>
  <c r="E83" i="9"/>
  <c r="H111" i="9"/>
  <c r="H68" i="9"/>
  <c r="G31" i="9"/>
  <c r="G14" i="9"/>
  <c r="H14" i="9" s="1"/>
  <c r="H26" i="9"/>
  <c r="H28" i="9"/>
  <c r="H69" i="9"/>
  <c r="H80" i="9"/>
  <c r="G89" i="9"/>
  <c r="H103" i="9"/>
  <c r="H106" i="9"/>
  <c r="G120" i="9"/>
  <c r="G10" i="9"/>
  <c r="G44" i="9"/>
  <c r="F77" i="9" l="1"/>
  <c r="H89" i="9"/>
  <c r="H31" i="9"/>
  <c r="H120" i="9"/>
  <c r="H44" i="9"/>
  <c r="H67" i="9"/>
  <c r="G95" i="9"/>
  <c r="H95" i="9" s="1"/>
  <c r="G49" i="9"/>
  <c r="G48" i="9" s="1"/>
  <c r="E77" i="9"/>
  <c r="E6" i="9"/>
  <c r="H63" i="9"/>
  <c r="H57" i="9"/>
  <c r="H96" i="9"/>
  <c r="F49" i="9"/>
  <c r="F48" i="9" s="1"/>
  <c r="F108" i="9" s="1"/>
  <c r="F115" i="9" s="1"/>
  <c r="E49" i="9"/>
  <c r="E48" i="9" s="1"/>
  <c r="H50" i="9"/>
  <c r="G17" i="9"/>
  <c r="H17" i="9" s="1"/>
  <c r="H37" i="9"/>
  <c r="H83" i="9"/>
  <c r="G6" i="9"/>
  <c r="H10" i="9"/>
  <c r="G77" i="9"/>
  <c r="H77" i="9" l="1"/>
  <c r="E108" i="9"/>
  <c r="E115" i="9" s="1"/>
  <c r="H49" i="9"/>
  <c r="H48" i="9"/>
  <c r="H6" i="9"/>
  <c r="G108" i="9"/>
  <c r="H108" i="9" l="1"/>
  <c r="G115" i="9"/>
  <c r="H115" i="9" s="1"/>
  <c r="H63" i="8" l="1"/>
  <c r="G63" i="8"/>
  <c r="F63" i="8"/>
  <c r="I63" i="8" s="1"/>
  <c r="H57" i="8"/>
  <c r="G57" i="8"/>
  <c r="F57" i="8"/>
  <c r="H56" i="8"/>
  <c r="I56" i="8" s="1"/>
  <c r="G56" i="8"/>
  <c r="F56" i="8"/>
  <c r="E55" i="8"/>
  <c r="D55" i="8"/>
  <c r="H54" i="8"/>
  <c r="G54" i="8"/>
  <c r="F54" i="8"/>
  <c r="H53" i="8"/>
  <c r="G53" i="8"/>
  <c r="F53" i="8"/>
  <c r="H52" i="8"/>
  <c r="G52" i="8"/>
  <c r="F52" i="8"/>
  <c r="E52" i="8"/>
  <c r="D52" i="8"/>
  <c r="D58" i="8" s="1"/>
  <c r="H51" i="8"/>
  <c r="G51" i="8"/>
  <c r="F51" i="8"/>
  <c r="H50" i="8"/>
  <c r="G50" i="8"/>
  <c r="F50" i="8"/>
  <c r="H49" i="8"/>
  <c r="G49" i="8"/>
  <c r="F49" i="8"/>
  <c r="H48" i="8"/>
  <c r="G48" i="8"/>
  <c r="F48" i="8"/>
  <c r="H47" i="8"/>
  <c r="G47" i="8"/>
  <c r="F47" i="8"/>
  <c r="H46" i="8"/>
  <c r="G46" i="8"/>
  <c r="F46" i="8"/>
  <c r="H45" i="8"/>
  <c r="G45" i="8"/>
  <c r="F45" i="8"/>
  <c r="H44" i="8"/>
  <c r="G44" i="8"/>
  <c r="F44" i="8"/>
  <c r="H43" i="8"/>
  <c r="G43" i="8"/>
  <c r="F43" i="8"/>
  <c r="H42" i="8"/>
  <c r="G42" i="8"/>
  <c r="F42" i="8"/>
  <c r="H41" i="8"/>
  <c r="G41" i="8"/>
  <c r="F41" i="8"/>
  <c r="I41" i="8" s="1"/>
  <c r="H40" i="8"/>
  <c r="G40" i="8"/>
  <c r="F40" i="8"/>
  <c r="H39" i="8"/>
  <c r="G39" i="8"/>
  <c r="F39" i="8"/>
  <c r="H38" i="8"/>
  <c r="G38" i="8"/>
  <c r="F38" i="8"/>
  <c r="H37" i="8"/>
  <c r="G37" i="8"/>
  <c r="F37" i="8"/>
  <c r="H36" i="8"/>
  <c r="G36" i="8"/>
  <c r="F36" i="8"/>
  <c r="H35" i="8"/>
  <c r="G35" i="8"/>
  <c r="F35" i="8"/>
  <c r="H34" i="8"/>
  <c r="G34" i="8"/>
  <c r="F34" i="8"/>
  <c r="H33" i="8"/>
  <c r="G33" i="8"/>
  <c r="F33" i="8"/>
  <c r="H32" i="8"/>
  <c r="G32" i="8"/>
  <c r="F32" i="8"/>
  <c r="H31" i="8"/>
  <c r="G31" i="8"/>
  <c r="F31" i="8"/>
  <c r="E31" i="8"/>
  <c r="H30" i="8"/>
  <c r="G30" i="8"/>
  <c r="F30" i="8"/>
  <c r="H29" i="8"/>
  <c r="G29" i="8"/>
  <c r="F29" i="8"/>
  <c r="H28" i="8"/>
  <c r="G28" i="8"/>
  <c r="F28" i="8"/>
  <c r="H27" i="8"/>
  <c r="G27" i="8"/>
  <c r="F27" i="8"/>
  <c r="H26" i="8"/>
  <c r="G26" i="8"/>
  <c r="F26" i="8"/>
  <c r="H25" i="8"/>
  <c r="G25" i="8"/>
  <c r="F25" i="8"/>
  <c r="H24" i="8"/>
  <c r="G24" i="8"/>
  <c r="F24" i="8"/>
  <c r="H23" i="8"/>
  <c r="G23" i="8"/>
  <c r="F23" i="8"/>
  <c r="H22" i="8"/>
  <c r="G22" i="8"/>
  <c r="F22" i="8"/>
  <c r="H21" i="8"/>
  <c r="G21" i="8"/>
  <c r="F21" i="8"/>
  <c r="H20" i="8"/>
  <c r="G20" i="8"/>
  <c r="F20" i="8"/>
  <c r="H19" i="8"/>
  <c r="G19" i="8"/>
  <c r="F19" i="8"/>
  <c r="H18" i="8"/>
  <c r="G18" i="8"/>
  <c r="F18" i="8"/>
  <c r="H17" i="8"/>
  <c r="G17" i="8"/>
  <c r="F17" i="8"/>
  <c r="H16" i="8"/>
  <c r="G16" i="8"/>
  <c r="F16" i="8"/>
  <c r="I16" i="8" s="1"/>
  <c r="E16" i="8"/>
  <c r="H15" i="8"/>
  <c r="G15" i="8"/>
  <c r="F15" i="8"/>
  <c r="H14" i="8"/>
  <c r="G14" i="8"/>
  <c r="F14" i="8"/>
  <c r="H13" i="8"/>
  <c r="I13" i="8" s="1"/>
  <c r="G13" i="8"/>
  <c r="F13" i="8"/>
  <c r="H12" i="8"/>
  <c r="G12" i="8"/>
  <c r="F12" i="8"/>
  <c r="H11" i="8"/>
  <c r="G11" i="8"/>
  <c r="F11" i="8"/>
  <c r="I11" i="8" s="1"/>
  <c r="H10" i="8"/>
  <c r="G10" i="8"/>
  <c r="F10" i="8"/>
  <c r="E10" i="8"/>
  <c r="H9" i="8"/>
  <c r="G9" i="8"/>
  <c r="F9" i="8"/>
  <c r="H8" i="8"/>
  <c r="G8" i="8"/>
  <c r="F8" i="8"/>
  <c r="H7" i="8"/>
  <c r="G7" i="8"/>
  <c r="F7" i="8"/>
  <c r="H28" i="4"/>
  <c r="H27" i="4"/>
  <c r="E58" i="8" l="1"/>
  <c r="F55" i="8"/>
  <c r="F58" i="8" s="1"/>
  <c r="F62" i="8" s="1"/>
  <c r="F64" i="8" s="1"/>
  <c r="I49" i="8"/>
  <c r="H69" i="8"/>
  <c r="I69" i="8" s="1"/>
  <c r="I26" i="8"/>
  <c r="F69" i="8"/>
  <c r="I10" i="8"/>
  <c r="I38" i="8"/>
  <c r="I40" i="8"/>
  <c r="I44" i="8"/>
  <c r="I46" i="8"/>
  <c r="I28" i="8"/>
  <c r="I14" i="8"/>
  <c r="I17" i="8"/>
  <c r="I23" i="8"/>
  <c r="I25" i="8"/>
  <c r="I50" i="8"/>
  <c r="I22" i="8"/>
  <c r="I47" i="8"/>
  <c r="G55" i="8"/>
  <c r="G68" i="8" s="1"/>
  <c r="I8" i="8"/>
  <c r="G69" i="8"/>
  <c r="I37" i="8"/>
  <c r="I7" i="8"/>
  <c r="I20" i="8"/>
  <c r="I31" i="8"/>
  <c r="I35" i="8"/>
  <c r="I43" i="8"/>
  <c r="I53" i="8"/>
  <c r="H55" i="8"/>
  <c r="I55" i="8" s="1"/>
  <c r="I19" i="8"/>
  <c r="I29" i="8"/>
  <c r="I32" i="8"/>
  <c r="I34" i="8"/>
  <c r="I52" i="8"/>
  <c r="F68" i="8"/>
  <c r="G58" i="8" l="1"/>
  <c r="G62" i="8" s="1"/>
  <c r="G64" i="8" s="1"/>
  <c r="G70" i="8"/>
  <c r="F70" i="8"/>
  <c r="E17" i="15"/>
  <c r="H68" i="8"/>
  <c r="H58" i="8"/>
  <c r="H62" i="8" s="1"/>
  <c r="I62" i="8" s="1"/>
  <c r="H64" i="8" l="1"/>
  <c r="I64" i="8" s="1"/>
  <c r="H70" i="8"/>
  <c r="I70" i="8" s="1"/>
  <c r="G17" i="15"/>
  <c r="I68" i="8"/>
  <c r="I58" i="8"/>
  <c r="E72" i="7"/>
  <c r="F59" i="7"/>
  <c r="F72" i="7" s="1"/>
  <c r="E59" i="7"/>
  <c r="D59" i="7"/>
  <c r="F51" i="7"/>
  <c r="G51" i="7" s="1"/>
  <c r="E51" i="7"/>
  <c r="D51" i="7"/>
  <c r="G49" i="7"/>
  <c r="G48" i="7"/>
  <c r="F43" i="7"/>
  <c r="E43" i="7"/>
  <c r="D43" i="7"/>
  <c r="G42" i="7"/>
  <c r="G41" i="7"/>
  <c r="G40" i="7"/>
  <c r="G39" i="7"/>
  <c r="F33" i="7"/>
  <c r="E33" i="7"/>
  <c r="D33" i="7"/>
  <c r="F32" i="7"/>
  <c r="E32" i="7"/>
  <c r="D32" i="7"/>
  <c r="G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F21" i="7"/>
  <c r="E21" i="7"/>
  <c r="D21" i="7"/>
  <c r="F20" i="7"/>
  <c r="E20" i="7"/>
  <c r="D20" i="7"/>
  <c r="F19" i="7"/>
  <c r="E19" i="7"/>
  <c r="D19" i="7"/>
  <c r="F18" i="7"/>
  <c r="E18" i="7"/>
  <c r="D18" i="7"/>
  <c r="F17" i="7"/>
  <c r="E17" i="7"/>
  <c r="D17" i="7"/>
  <c r="F16" i="7"/>
  <c r="E16" i="7"/>
  <c r="D16" i="7"/>
  <c r="F15" i="7"/>
  <c r="E15" i="7"/>
  <c r="D15" i="7"/>
  <c r="F14" i="7"/>
  <c r="E14" i="7"/>
  <c r="D14" i="7"/>
  <c r="F13" i="7"/>
  <c r="E13" i="7"/>
  <c r="D13" i="7"/>
  <c r="F11" i="7"/>
  <c r="E11" i="7"/>
  <c r="D11" i="7"/>
  <c r="F10" i="7"/>
  <c r="E10" i="7"/>
  <c r="D10" i="7"/>
  <c r="F9" i="7"/>
  <c r="E9" i="7"/>
  <c r="D9" i="7"/>
  <c r="F8" i="7"/>
  <c r="E8" i="7"/>
  <c r="D8" i="7"/>
  <c r="F7" i="7"/>
  <c r="E7" i="7"/>
  <c r="D7" i="7"/>
  <c r="H9" i="4"/>
  <c r="H13" i="4"/>
  <c r="H10" i="4"/>
  <c r="H18" i="4"/>
  <c r="H17" i="4"/>
  <c r="H16" i="4"/>
  <c r="H15" i="4"/>
  <c r="H14" i="4"/>
  <c r="H11" i="4"/>
  <c r="H8" i="4"/>
  <c r="H7" i="4"/>
  <c r="H6" i="4"/>
  <c r="H5" i="4"/>
  <c r="D69" i="7" l="1"/>
  <c r="D70" i="7"/>
  <c r="E68" i="7"/>
  <c r="E69" i="7"/>
  <c r="F69" i="7"/>
  <c r="E70" i="7"/>
  <c r="F68" i="7"/>
  <c r="F70" i="7"/>
  <c r="D68" i="7"/>
  <c r="E6" i="15" s="1"/>
  <c r="F12" i="7"/>
  <c r="F67" i="7" s="1"/>
  <c r="G5" i="15" s="1"/>
  <c r="G11" i="7"/>
  <c r="G16" i="7"/>
  <c r="G20" i="7"/>
  <c r="G24" i="7"/>
  <c r="G28" i="7"/>
  <c r="G43" i="7"/>
  <c r="G10" i="7"/>
  <c r="G15" i="7"/>
  <c r="G19" i="7"/>
  <c r="G23" i="7"/>
  <c r="G27" i="7"/>
  <c r="G33" i="7"/>
  <c r="G59" i="7"/>
  <c r="D12" i="7"/>
  <c r="G9" i="7"/>
  <c r="G14" i="7"/>
  <c r="G18" i="7"/>
  <c r="G22" i="7"/>
  <c r="G26" i="7"/>
  <c r="G32" i="7"/>
  <c r="E12" i="7"/>
  <c r="G8" i="7"/>
  <c r="G13" i="7"/>
  <c r="G17" i="7"/>
  <c r="G21" i="7"/>
  <c r="G25" i="7"/>
  <c r="G29" i="7"/>
  <c r="F34" i="7"/>
  <c r="G7" i="7"/>
  <c r="D34" i="7" l="1"/>
  <c r="D53" i="7" s="1"/>
  <c r="D58" i="7" s="1"/>
  <c r="D60" i="7" s="1"/>
  <c r="D67" i="7"/>
  <c r="E5" i="15" s="1"/>
  <c r="G12" i="7"/>
  <c r="E34" i="7"/>
  <c r="E53" i="7" s="1"/>
  <c r="E58" i="7" s="1"/>
  <c r="E60" i="7" s="1"/>
  <c r="E67" i="7"/>
  <c r="F53" i="7"/>
  <c r="F58" i="7" s="1"/>
  <c r="G34" i="7" l="1"/>
  <c r="G53" i="7"/>
  <c r="F60" i="7"/>
  <c r="G60" i="7" s="1"/>
  <c r="G58" i="7"/>
  <c r="E42" i="4" l="1"/>
  <c r="E41" i="4"/>
  <c r="E40" i="4"/>
  <c r="E38" i="4"/>
  <c r="E37" i="4"/>
  <c r="E36" i="4"/>
  <c r="E35" i="4"/>
  <c r="E34" i="4"/>
  <c r="E33" i="4"/>
  <c r="E32" i="4"/>
  <c r="F56" i="4" l="1"/>
  <c r="E11" i="4" l="1"/>
  <c r="E7" i="4"/>
  <c r="E16" i="4"/>
  <c r="E15" i="4"/>
  <c r="E14" i="4"/>
  <c r="E13" i="4"/>
  <c r="H12" i="4"/>
  <c r="E12" i="4"/>
  <c r="E10" i="4"/>
  <c r="E9" i="4"/>
  <c r="E8" i="4"/>
  <c r="E6" i="4"/>
  <c r="E17" i="4"/>
  <c r="E18" i="4"/>
  <c r="E5" i="4"/>
  <c r="H45" i="4" l="1"/>
  <c r="E44" i="4" l="1"/>
  <c r="E43" i="4" l="1"/>
  <c r="E39" i="4" l="1"/>
  <c r="E28" i="4" l="1"/>
  <c r="E27" i="4"/>
  <c r="E16" i="15" l="1"/>
  <c r="E8" i="15" l="1"/>
  <c r="G8" i="15" l="1"/>
  <c r="G7" i="15"/>
  <c r="G6" i="15"/>
  <c r="E7" i="15"/>
  <c r="I19" i="7"/>
  <c r="D71" i="7" l="1"/>
  <c r="D73" i="7" s="1"/>
  <c r="H31" i="4" l="1"/>
  <c r="H30" i="4" s="1"/>
  <c r="H26" i="4"/>
  <c r="E66" i="4"/>
  <c r="H57" i="4" l="1"/>
  <c r="E67" i="4"/>
  <c r="I64" i="4"/>
  <c r="E45" i="4" l="1"/>
  <c r="E31" i="4" l="1"/>
  <c r="E26" i="4" l="1"/>
  <c r="G42" i="15" l="1"/>
  <c r="G41" i="15"/>
  <c r="E71" i="7" l="1"/>
  <c r="E73" i="7" s="1"/>
  <c r="F71" i="7"/>
  <c r="F73" i="7" s="1"/>
  <c r="G25" i="15" l="1"/>
  <c r="G24" i="15" s="1"/>
  <c r="J34" i="15" s="1"/>
  <c r="J17" i="15" l="1"/>
  <c r="I41" i="15" l="1"/>
  <c r="I33" i="15"/>
  <c r="I28" i="15"/>
  <c r="I29" i="15"/>
  <c r="I22" i="15"/>
  <c r="I10" i="15"/>
  <c r="I40" i="15" l="1"/>
  <c r="I27" i="15" l="1"/>
  <c r="I20" i="15" l="1"/>
  <c r="J19" i="15"/>
  <c r="I19" i="15" l="1"/>
  <c r="I8" i="15" l="1"/>
  <c r="J18" i="15"/>
  <c r="I6" i="15" l="1"/>
  <c r="I7" i="15"/>
  <c r="I5" i="15"/>
  <c r="G21" i="15" l="1"/>
  <c r="I20" i="4"/>
  <c r="I65" i="4"/>
  <c r="I21" i="15" l="1"/>
  <c r="G16" i="15"/>
  <c r="G67" i="4"/>
  <c r="G31" i="4" l="1"/>
  <c r="E30" i="4"/>
  <c r="G30" i="4" l="1"/>
  <c r="G57" i="4" s="1"/>
  <c r="E19" i="4"/>
  <c r="G19" i="4" l="1"/>
  <c r="G21" i="4" s="1"/>
  <c r="G70" i="4" s="1"/>
  <c r="I43" i="4" l="1"/>
  <c r="I42" i="4" l="1"/>
  <c r="I41" i="4"/>
  <c r="I40" i="4"/>
  <c r="I36" i="4"/>
  <c r="I35" i="4"/>
  <c r="I34" i="4"/>
  <c r="I33" i="4"/>
  <c r="I28" i="4" l="1"/>
  <c r="I18" i="4" l="1"/>
  <c r="I17" i="4"/>
  <c r="I15" i="4" l="1"/>
  <c r="I5" i="4"/>
  <c r="E39" i="15" l="1"/>
  <c r="F5" i="15" l="1"/>
  <c r="E9" i="15" l="1"/>
  <c r="I31" i="15" l="1"/>
  <c r="F34" i="12" l="1"/>
  <c r="F31" i="12"/>
  <c r="F28" i="12"/>
  <c r="F22" i="12"/>
  <c r="F19" i="12"/>
  <c r="I30" i="15" l="1"/>
  <c r="F19" i="15" l="1"/>
  <c r="F16" i="15" s="1"/>
  <c r="F27" i="15"/>
  <c r="F24" i="15" s="1"/>
  <c r="F32" i="15" l="1"/>
  <c r="I26" i="15" l="1"/>
  <c r="I18" i="15"/>
  <c r="E43" i="15" l="1"/>
  <c r="D43" i="15"/>
  <c r="C43" i="15"/>
  <c r="I42" i="15"/>
  <c r="H40" i="15"/>
  <c r="F40" i="15"/>
  <c r="F43" i="15" s="1"/>
  <c r="H33" i="15"/>
  <c r="H31" i="15"/>
  <c r="H30" i="15"/>
  <c r="H27" i="15"/>
  <c r="H26" i="15"/>
  <c r="H19" i="15"/>
  <c r="F34" i="15"/>
  <c r="F49" i="15" s="1"/>
  <c r="D32" i="15"/>
  <c r="D34" i="15" s="1"/>
  <c r="D49" i="15" s="1"/>
  <c r="H10" i="15"/>
  <c r="E11" i="15"/>
  <c r="E48" i="15" s="1"/>
  <c r="H8" i="15"/>
  <c r="H7" i="15"/>
  <c r="D7" i="15"/>
  <c r="C7" i="15"/>
  <c r="H6" i="15"/>
  <c r="D6" i="15"/>
  <c r="D5" i="15"/>
  <c r="C5" i="15"/>
  <c r="E25" i="15" l="1"/>
  <c r="E24" i="15" s="1"/>
  <c r="H42" i="15"/>
  <c r="G39" i="15"/>
  <c r="D9" i="15"/>
  <c r="D11" i="15" s="1"/>
  <c r="D48" i="15" s="1"/>
  <c r="D50" i="15" s="1"/>
  <c r="C9" i="15"/>
  <c r="C11" i="15" s="1"/>
  <c r="C48" i="15" s="1"/>
  <c r="F9" i="15"/>
  <c r="F11" i="15" s="1"/>
  <c r="F48" i="15" s="1"/>
  <c r="F50" i="15" s="1"/>
  <c r="F45" i="15" s="1"/>
  <c r="G9" i="15"/>
  <c r="H21" i="15"/>
  <c r="C32" i="15"/>
  <c r="C34" i="15" s="1"/>
  <c r="C49" i="15" s="1"/>
  <c r="G43" i="15"/>
  <c r="H5" i="15"/>
  <c r="I24" i="15" l="1"/>
  <c r="I25" i="15"/>
  <c r="J31" i="15" s="1"/>
  <c r="H9" i="15"/>
  <c r="I9" i="15"/>
  <c r="I17" i="15"/>
  <c r="H43" i="15"/>
  <c r="I43" i="15"/>
  <c r="H39" i="15"/>
  <c r="I39" i="15"/>
  <c r="E32" i="15"/>
  <c r="E34" i="15" s="1"/>
  <c r="H25" i="15"/>
  <c r="H17" i="15"/>
  <c r="C50" i="15"/>
  <c r="G11" i="15"/>
  <c r="E49" i="15" l="1"/>
  <c r="E50" i="15" s="1"/>
  <c r="H24" i="15"/>
  <c r="H11" i="15"/>
  <c r="I11" i="15"/>
  <c r="G48" i="15"/>
  <c r="F44" i="4" l="1"/>
  <c r="I44" i="4"/>
  <c r="I58" i="4" l="1"/>
  <c r="F26" i="4" l="1"/>
  <c r="F52" i="4" l="1"/>
  <c r="F51" i="4"/>
  <c r="F46" i="4"/>
  <c r="F43" i="4" l="1"/>
  <c r="F29" i="4" l="1"/>
  <c r="D67" i="4" l="1"/>
  <c r="C67" i="4"/>
  <c r="F64" i="4"/>
  <c r="F67" i="4" s="1"/>
  <c r="F54" i="4"/>
  <c r="F45" i="4" s="1"/>
  <c r="F42" i="4"/>
  <c r="F41" i="4"/>
  <c r="F40" i="4"/>
  <c r="F36" i="4"/>
  <c r="D36" i="4"/>
  <c r="D31" i="4" s="1"/>
  <c r="D30" i="4" s="1"/>
  <c r="C36" i="4"/>
  <c r="C31" i="4" s="1"/>
  <c r="C30" i="4" s="1"/>
  <c r="F35" i="4"/>
  <c r="F34" i="4"/>
  <c r="F33" i="4"/>
  <c r="F32" i="4"/>
  <c r="D29" i="4"/>
  <c r="D26" i="4"/>
  <c r="C26" i="4"/>
  <c r="F18" i="4"/>
  <c r="F17" i="4"/>
  <c r="F15" i="4"/>
  <c r="F14" i="4"/>
  <c r="F13" i="4"/>
  <c r="D13" i="4"/>
  <c r="C13" i="4"/>
  <c r="F12" i="4"/>
  <c r="F11" i="4"/>
  <c r="C11" i="4"/>
  <c r="F10" i="4"/>
  <c r="D10" i="4"/>
  <c r="C10" i="4"/>
  <c r="F9" i="4"/>
  <c r="D9" i="4"/>
  <c r="C9" i="4"/>
  <c r="F8" i="4"/>
  <c r="F7" i="4"/>
  <c r="D7" i="4"/>
  <c r="C7" i="4"/>
  <c r="F6" i="4"/>
  <c r="D6" i="4"/>
  <c r="D5" i="4"/>
  <c r="C5" i="4"/>
  <c r="F19" i="4" l="1"/>
  <c r="F21" i="4" s="1"/>
  <c r="F70" i="4" s="1"/>
  <c r="F31" i="4"/>
  <c r="F30" i="4" s="1"/>
  <c r="F57" i="4" s="1"/>
  <c r="F59" i="4" s="1"/>
  <c r="F71" i="4" s="1"/>
  <c r="E21" i="4"/>
  <c r="E70" i="4" s="1"/>
  <c r="D19" i="4"/>
  <c r="D21" i="4" s="1"/>
  <c r="D70" i="4" s="1"/>
  <c r="C57" i="4"/>
  <c r="C59" i="4" s="1"/>
  <c r="C71" i="4" s="1"/>
  <c r="C19" i="4"/>
  <c r="C21" i="4" s="1"/>
  <c r="C70" i="4" s="1"/>
  <c r="D57" i="4"/>
  <c r="D59" i="4" s="1"/>
  <c r="D71" i="4" s="1"/>
  <c r="F72" i="4" l="1"/>
  <c r="D72" i="4"/>
  <c r="C72" i="4"/>
  <c r="F69" i="4" l="1"/>
  <c r="H18" i="15" l="1"/>
  <c r="G59" i="4" l="1"/>
  <c r="G71" i="4" s="1"/>
  <c r="G72" i="4" s="1"/>
  <c r="I6" i="4" l="1"/>
  <c r="I7" i="4" l="1"/>
  <c r="I10" i="4" l="1"/>
  <c r="I13" i="4" l="1"/>
  <c r="I9" i="4"/>
  <c r="I8" i="4" l="1"/>
  <c r="I32" i="4" l="1"/>
  <c r="I31" i="4" l="1"/>
  <c r="I30" i="4" l="1"/>
  <c r="I27" i="4" l="1"/>
  <c r="I26" i="4" l="1"/>
  <c r="I11" i="4" l="1"/>
  <c r="J23" i="15" l="1"/>
  <c r="I23" i="15"/>
  <c r="G32" i="15"/>
  <c r="I32" i="15" l="1"/>
  <c r="H32" i="15"/>
  <c r="G34" i="15"/>
  <c r="G49" i="15" s="1"/>
  <c r="H16" i="15"/>
  <c r="I16" i="15"/>
  <c r="I34" i="15" l="1"/>
  <c r="H34" i="15"/>
  <c r="G50" i="15"/>
  <c r="G45" i="15" s="1"/>
  <c r="I45" i="4" l="1"/>
  <c r="H59" i="4" l="1"/>
  <c r="I14" i="4" l="1"/>
  <c r="H19" i="4"/>
  <c r="I19" i="4" l="1"/>
  <c r="H21" i="4"/>
  <c r="H70" i="4" s="1"/>
  <c r="I21" i="4" l="1"/>
  <c r="H67" i="4" l="1"/>
  <c r="I67" i="4" s="1"/>
  <c r="I66" i="4"/>
  <c r="H71" i="4"/>
  <c r="H72" i="4" s="1"/>
  <c r="H69" i="4" s="1"/>
  <c r="E29" i="4" l="1"/>
  <c r="E57" i="4" l="1"/>
  <c r="I29" i="4"/>
  <c r="E59" i="4" l="1"/>
  <c r="I57" i="4"/>
  <c r="E71" i="4" l="1"/>
  <c r="E72" i="4" s="1"/>
  <c r="I5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Fidrová Olga</author>
  </authors>
  <commentList>
    <comment ref="B65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Fidrová Olga:</t>
        </r>
        <r>
          <rPr>
            <sz val="9"/>
            <color indexed="81"/>
            <rFont val="Tahoma"/>
            <family val="2"/>
            <charset val="238"/>
          </rPr>
          <t xml:space="preserve">
změna textu</t>
        </r>
      </text>
    </comment>
    <comment ref="H69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Fidrová Olga:</t>
        </r>
        <r>
          <rPr>
            <sz val="9"/>
            <color indexed="81"/>
            <rFont val="Tahoma"/>
            <family val="2"/>
            <charset val="238"/>
          </rPr>
          <t xml:space="preserve">
něco špatně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Fidrová Olga</author>
  </authors>
  <commentList>
    <comment ref="B41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Fidrová Olga:</t>
        </r>
        <r>
          <rPr>
            <sz val="9"/>
            <color indexed="81"/>
            <rFont val="Tahoma"/>
            <family val="2"/>
            <charset val="238"/>
          </rPr>
          <t xml:space="preserve">
změna textu</t>
        </r>
      </text>
    </comment>
    <comment ref="G45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Fidrová Olga:</t>
        </r>
        <r>
          <rPr>
            <sz val="9"/>
            <color indexed="81"/>
            <rFont val="Tahoma"/>
            <family val="2"/>
            <charset val="238"/>
          </rPr>
          <t xml:space="preserve">
něco špatně</t>
        </r>
      </text>
    </comment>
  </commentList>
</comments>
</file>

<file path=xl/sharedStrings.xml><?xml version="1.0" encoding="utf-8"?>
<sst xmlns="http://schemas.openxmlformats.org/spreadsheetml/2006/main" count="998" uniqueCount="554">
  <si>
    <t>v tis. Kč</t>
  </si>
  <si>
    <t>Poř.č.</t>
  </si>
  <si>
    <t>%</t>
  </si>
  <si>
    <t>Daňové příjmy</t>
  </si>
  <si>
    <t>Správní poplatky</t>
  </si>
  <si>
    <t>Příjmy z pronájmu</t>
  </si>
  <si>
    <t>Přijaté sankční platby</t>
  </si>
  <si>
    <t>Příjmy z prodeje</t>
  </si>
  <si>
    <t>Příjmy z úroků</t>
  </si>
  <si>
    <t>Neinvestiční přijaté dotace ze státního rozpočtu</t>
  </si>
  <si>
    <t xml:space="preserve">Odvody příspěvkových organizací </t>
  </si>
  <si>
    <t>Sociální fond</t>
  </si>
  <si>
    <t xml:space="preserve">Fond na podporu výstavby a obnovy vodohospodářské infrastruktury na území Olomouckého kraje </t>
  </si>
  <si>
    <t>Splátky půjček</t>
  </si>
  <si>
    <t>Příjmy Olomouckého kraje celkem</t>
  </si>
  <si>
    <t>Konsolidace</t>
  </si>
  <si>
    <t xml:space="preserve">Výdaje Olomouckého kraje  </t>
  </si>
  <si>
    <t>Fond sociálních potřeb</t>
  </si>
  <si>
    <t>Výdaje Olomouckého kraje celkem</t>
  </si>
  <si>
    <t>Příjmy Olomouckého kraje celkem (po konsolidaci)</t>
  </si>
  <si>
    <t>Financování celkem</t>
  </si>
  <si>
    <t xml:space="preserve">strana </t>
  </si>
  <si>
    <t xml:space="preserve"> </t>
  </si>
  <si>
    <t>Rekapitulace</t>
  </si>
  <si>
    <t>Zastupitelé</t>
  </si>
  <si>
    <t>Odbor ekonomický</t>
  </si>
  <si>
    <t>Odbor životního prostředí a zemědělství</t>
  </si>
  <si>
    <t>Odbor sociálních věcí</t>
  </si>
  <si>
    <t>Odbor dopravy a silničního hospodářství</t>
  </si>
  <si>
    <t>Odbor zdravotnictví</t>
  </si>
  <si>
    <t>Příspěvkové organizace v oblasti školství</t>
  </si>
  <si>
    <t>Příspěvkové organizace v oblasti dopravy</t>
  </si>
  <si>
    <t>Příspěvkové organizace v oblasti kultury</t>
  </si>
  <si>
    <t>Příspěvkové organizace v oblasti sociálních věcí</t>
  </si>
  <si>
    <t>Příspěvkové organizace v oblasti zdravotnictví</t>
  </si>
  <si>
    <t>Výdaje Olomouckého kraje celkem (po konsolidaci)</t>
  </si>
  <si>
    <t>Příjmy Olomouckého kraje</t>
  </si>
  <si>
    <t>VÝDAJE OLOMOUCKÉHO KRAJE</t>
  </si>
  <si>
    <t xml:space="preserve">PŘÍJMY OLOMOUCKÉHO KRAJE </t>
  </si>
  <si>
    <t>z toho: příspěvek na provoz</t>
  </si>
  <si>
    <t xml:space="preserve">            příspěvek na provoz - odpisy</t>
  </si>
  <si>
    <t xml:space="preserve">            příspěvek na provoz - mzdové náklady</t>
  </si>
  <si>
    <t xml:space="preserve">           příspěvek na provoz - ostatní</t>
  </si>
  <si>
    <t>FINANCOVÁNÍ</t>
  </si>
  <si>
    <t xml:space="preserve">Příjmy včetně financování </t>
  </si>
  <si>
    <t xml:space="preserve">Výdaje včetně financování </t>
  </si>
  <si>
    <t>Rozdíl</t>
  </si>
  <si>
    <t>Odbor kancelář ředitele</t>
  </si>
  <si>
    <t xml:space="preserve">           příspěvek na provoz - účelově určený příspěvek </t>
  </si>
  <si>
    <t xml:space="preserve">           rezerva pro PO </t>
  </si>
  <si>
    <t>Dotační programy / tituly</t>
  </si>
  <si>
    <t>Odbor strategického rozvoje kraje</t>
  </si>
  <si>
    <t>Odbor  kontroly</t>
  </si>
  <si>
    <t>a) Odbory Krajského úřadu Olomouckého kraje</t>
  </si>
  <si>
    <t>b) dotační programy / tituly</t>
  </si>
  <si>
    <t>c) Příspěvkové organizace zřizované Olomouckým krajem</t>
  </si>
  <si>
    <t>d) Fond sociálních potřeb</t>
  </si>
  <si>
    <t>e) Fond na podporu výstavby a obnovy vodohospodářské infrastruktury na území Olomouckého kraje</t>
  </si>
  <si>
    <t>Opravy, investice a projekty</t>
  </si>
  <si>
    <t xml:space="preserve">Příspěvkové organizace - celkem </t>
  </si>
  <si>
    <t xml:space="preserve">a) Příspěvkové organizace - provozní výdaje </t>
  </si>
  <si>
    <t>Rezerva pro příspěvkové organizace</t>
  </si>
  <si>
    <t xml:space="preserve">4. Financování </t>
  </si>
  <si>
    <t>b) splátky úvěrů</t>
  </si>
  <si>
    <t>a) Příspěvkové organizace v oblasti školství</t>
  </si>
  <si>
    <t>133</t>
  </si>
  <si>
    <t>b) Příspěvkové organizace v oblasti sociálních věcí</t>
  </si>
  <si>
    <t>134</t>
  </si>
  <si>
    <t>c) Příspěvkové organizace v oblasti dopravy</t>
  </si>
  <si>
    <t>135</t>
  </si>
  <si>
    <t>d) Příspěvkové organizace v oblasti kultury</t>
  </si>
  <si>
    <t>136</t>
  </si>
  <si>
    <t>e) Příspěvkové organizace v oblasti zdravotnictví</t>
  </si>
  <si>
    <t>137</t>
  </si>
  <si>
    <t>Skutečnost 2015</t>
  </si>
  <si>
    <t>Skutečnost 2016</t>
  </si>
  <si>
    <t xml:space="preserve">Odbory </t>
  </si>
  <si>
    <t>Odbor informačních technologií</t>
  </si>
  <si>
    <t>Odbor školství a mládeže</t>
  </si>
  <si>
    <t>Odbor sportu, kultury a památkové péče</t>
  </si>
  <si>
    <t>Odbor investic</t>
  </si>
  <si>
    <t>Odbor kancelář hejtmana</t>
  </si>
  <si>
    <t xml:space="preserve">7. Závazné ukazatele příspěvkových organizací </t>
  </si>
  <si>
    <t>Individuální dotace - odbor ekonomický</t>
  </si>
  <si>
    <t>Odbor majetkový, právní a správních činností</t>
  </si>
  <si>
    <t>b) Investiční příspěvek - nákupy do sbírek muzejní povahy</t>
  </si>
  <si>
    <t>c) Příspěvek na provoz - dopravní obslužnost</t>
  </si>
  <si>
    <t>Ostatní příjmy</t>
  </si>
  <si>
    <t>Rozdíl (nekryto rozpočtem)</t>
  </si>
  <si>
    <t>tis.Kč</t>
  </si>
  <si>
    <t>6. Očekávané plnění k 31.12.2019</t>
  </si>
  <si>
    <t>134-135</t>
  </si>
  <si>
    <t>138</t>
  </si>
  <si>
    <t>139</t>
  </si>
  <si>
    <t>140</t>
  </si>
  <si>
    <t>Nárh rozpočtu 2021</t>
  </si>
  <si>
    <t>v tis.Kč</t>
  </si>
  <si>
    <t>§</t>
  </si>
  <si>
    <t xml:space="preserve">pol. </t>
  </si>
  <si>
    <t>Název seskupení položek</t>
  </si>
  <si>
    <t>7=6/4</t>
  </si>
  <si>
    <t xml:space="preserve"> -</t>
  </si>
  <si>
    <t>Ostatní příjmy z vlastní činnosti</t>
  </si>
  <si>
    <t>Sankční platby přijaté od jiných subjektů</t>
  </si>
  <si>
    <t xml:space="preserve">Ostatní nedaňové příjmy jinde nezařazené    </t>
  </si>
  <si>
    <t>Splátky půjčených prostředků od obecně prospěšných společností a podobných subjektů</t>
  </si>
  <si>
    <t>Celkem</t>
  </si>
  <si>
    <t>b) Fond sociálních potřeb</t>
  </si>
  <si>
    <t>Položka</t>
  </si>
  <si>
    <t>Název položky</t>
  </si>
  <si>
    <t>Převody z rozpočtových účtů</t>
  </si>
  <si>
    <t>c) Fond na podporu výstavby a obnovy vodohospodářské infrastruktury na území Olomouckého kraje</t>
  </si>
  <si>
    <t>Poplatky za znečišťování ovzduší</t>
  </si>
  <si>
    <t>Poplatek za odebrané množství podzemní vody</t>
  </si>
  <si>
    <t>Rekapitulace:</t>
  </si>
  <si>
    <t>Příjmy Olomouckého kraje celkem (po konsolidaci*)</t>
  </si>
  <si>
    <t>Konsolidace je očištění údajů v rozpočtu o interní přesuny peněžních prostředků uvnitř organizace mezi jednotlivými účty.</t>
  </si>
  <si>
    <t>Poznámka: v části upravený rozpočet a skutečnost nejsou uvedeny všechny položky, protože nejsou součástí schváleného rozpočtu.</t>
  </si>
  <si>
    <t>Odbor (kancelář)</t>
  </si>
  <si>
    <t>ORJ</t>
  </si>
  <si>
    <t>3a</t>
  </si>
  <si>
    <t>3b</t>
  </si>
  <si>
    <t>6=5/3</t>
  </si>
  <si>
    <t xml:space="preserve">Odbor majetkový, právní a správních činností </t>
  </si>
  <si>
    <t xml:space="preserve">Odbor informačních technologií </t>
  </si>
  <si>
    <t xml:space="preserve">Odbor ekonomický  </t>
  </si>
  <si>
    <t xml:space="preserve">Odbor životního prostředí a zemědělství </t>
  </si>
  <si>
    <t xml:space="preserve">Odbor sociálních věcí </t>
  </si>
  <si>
    <t xml:space="preserve">Odbor dopravy a silničního hospodářství </t>
  </si>
  <si>
    <t xml:space="preserve">Odbor zdravotnictví </t>
  </si>
  <si>
    <t xml:space="preserve">Odbor kontroly </t>
  </si>
  <si>
    <t>Výdaje odborů - provozní výdaje</t>
  </si>
  <si>
    <t xml:space="preserve">Odbor </t>
  </si>
  <si>
    <t>UZ</t>
  </si>
  <si>
    <t xml:space="preserve">Dotační program: </t>
  </si>
  <si>
    <t xml:space="preserve">Dotační tituly: </t>
  </si>
  <si>
    <t>03_02_1 Podpora začínajících včelařů</t>
  </si>
  <si>
    <t>03_02_2 Podpora stávajících včelařů</t>
  </si>
  <si>
    <t>04_02_1 Řešení mimořádné situace na infrastruktuře vodovodů a kanalizací pro veřejnou potřebu</t>
  </si>
  <si>
    <t xml:space="preserve">04_02_2 Řešení mimořádné situace na vodních dílech a realizace opatření k předcházení a odstraňování následků povodní </t>
  </si>
  <si>
    <t>03_03_1 Podpora činnosti záchranných stanic pro handicapované živočichy</t>
  </si>
  <si>
    <t xml:space="preserve">03_03_2 Podpora akcí zaměřených na oblast životního prostředí a zemědělství a podpora činnosti zájmových spolků a organizací, předmětem jejichž činnosti je oblast životního prostředí a zemědělství </t>
  </si>
  <si>
    <t>oblast sportu:</t>
  </si>
  <si>
    <t>oblast kultury a památkové péče:</t>
  </si>
  <si>
    <t xml:space="preserve">Dotace celkem </t>
  </si>
  <si>
    <t xml:space="preserve">Všechny odbory </t>
  </si>
  <si>
    <t>Individuální dotace</t>
  </si>
  <si>
    <t>Organizace</t>
  </si>
  <si>
    <t>SKUTEČNOST K 31.12.2015</t>
  </si>
  <si>
    <t>SCHVÁLENÝ ROZPOČET</t>
  </si>
  <si>
    <t>Očekávaná skutečnost k 31.12.2017</t>
  </si>
  <si>
    <t>NÁVRH ROZPOČTU</t>
  </si>
  <si>
    <t>nárůst/snížení v %</t>
  </si>
  <si>
    <t>sl.1</t>
  </si>
  <si>
    <t>sl.2</t>
  </si>
  <si>
    <t>sl.3b</t>
  </si>
  <si>
    <t>sl.3</t>
  </si>
  <si>
    <t>sl.4=sl.3-sl.1</t>
  </si>
  <si>
    <t>sl.5=sl.3/sl.1</t>
  </si>
  <si>
    <t>Organizace v oblasti školství</t>
  </si>
  <si>
    <t xml:space="preserve">a) příspěvek na provoz </t>
  </si>
  <si>
    <t>300</t>
  </si>
  <si>
    <t>301</t>
  </si>
  <si>
    <t>302</t>
  </si>
  <si>
    <t>303</t>
  </si>
  <si>
    <t>304</t>
  </si>
  <si>
    <t>Organizace v oblasti sociální</t>
  </si>
  <si>
    <t>Organizace v oblasti dopravy</t>
  </si>
  <si>
    <t>1) Provozní příspěvky</t>
  </si>
  <si>
    <t>2) Dopravní obslužnost</t>
  </si>
  <si>
    <t>a) příspěvek na úhradu prokazatelné ztráty dopravcům - veřejná linková doprava</t>
  </si>
  <si>
    <t>130</t>
  </si>
  <si>
    <t xml:space="preserve">b) příspěvek na úhradu prokazatelné ztráty dopravcům  - drážní doprava </t>
  </si>
  <si>
    <t>132</t>
  </si>
  <si>
    <t xml:space="preserve">c) příspěvek na úhradu protarifovací ztráty - drážní  doprava </t>
  </si>
  <si>
    <t xml:space="preserve">d) příspěvek na úhradu prokazatelné ztráty - od obcí </t>
  </si>
  <si>
    <t>e) mezikrajské smlouvy na linkovou dopravu</t>
  </si>
  <si>
    <t>f) smlouvy na autobusovou dopravu</t>
  </si>
  <si>
    <t>Organizace v oblasti kultury</t>
  </si>
  <si>
    <t>308</t>
  </si>
  <si>
    <t>REZERVA - záchr. archeologický výzkum</t>
  </si>
  <si>
    <t>2) Investiční příspěvky</t>
  </si>
  <si>
    <t>- nákupy do sbírek muzejní povahy</t>
  </si>
  <si>
    <t>309</t>
  </si>
  <si>
    <t>Organizace v oblasti zdravotnictví</t>
  </si>
  <si>
    <t>307</t>
  </si>
  <si>
    <t>Celkem příspěvkové organizace</t>
  </si>
  <si>
    <t>3) Dopravní obslužnost</t>
  </si>
  <si>
    <t>a)  příspěvek na úhradu prokazatelné ztráty dopravcům - veřejná linková doprava</t>
  </si>
  <si>
    <t xml:space="preserve">Příspěvkové organizace zřizované Olomouckým krajem </t>
  </si>
  <si>
    <t>Komentář:</t>
  </si>
  <si>
    <t>Ostatní neinvestiční výdaje</t>
  </si>
  <si>
    <t>seskupení položek</t>
  </si>
  <si>
    <t>vedoucí odboru kancelář ředitele</t>
  </si>
  <si>
    <t>Ing. Svatava Špalková</t>
  </si>
  <si>
    <t>Správce:</t>
  </si>
  <si>
    <t>ORJ - 199</t>
  </si>
  <si>
    <t xml:space="preserve">Investiční transfery obcím </t>
  </si>
  <si>
    <t>§ 2334, seskupení pol. 63 - Investiční transfery</t>
  </si>
  <si>
    <t>§ 2310, seskupení pol. 63 - Investiční transfery</t>
  </si>
  <si>
    <t>§ 2321, seskupení pol. 63 - Investiční transfery</t>
  </si>
  <si>
    <t>Využití příjmu z poplatků za odběr podzemní vody je účelově vázáno na podporu výstavby a obnovy vodohospodářské infrastruktury. Zastupitelstvo Olomouckého kraje svým usnesením UZ/7/43/2005 ze dne 12.12.2005 schválilo Fond na podporu výstavby a obnovy vodohospodářské infrastruktury na území Olomouckého kraje.</t>
  </si>
  <si>
    <t>Investiční transfery obcím</t>
  </si>
  <si>
    <t>§ 2399, seskupení pol. 63 - Investiční transfery</t>
  </si>
  <si>
    <t>Investiční transfery</t>
  </si>
  <si>
    <t>vedoucí odboru životního prostředí a zemědělství</t>
  </si>
  <si>
    <t>ORJ - 99</t>
  </si>
  <si>
    <t>IF PO</t>
  </si>
  <si>
    <t>Nájemné SMN</t>
  </si>
  <si>
    <t>Požadavky na rozpočet OK</t>
  </si>
  <si>
    <t>CELKEM</t>
  </si>
  <si>
    <t>Splátky úvěrů - dle splátkového kalendáře</t>
  </si>
  <si>
    <t xml:space="preserve">Rekapitulace: </t>
  </si>
  <si>
    <t>Odbory - provozní výdaje</t>
  </si>
  <si>
    <t xml:space="preserve">Celkem </t>
  </si>
  <si>
    <t>z toho: Odbory - provozní výdaje</t>
  </si>
  <si>
    <t>Financování z tuzemska</t>
  </si>
  <si>
    <t>Financování ze zahraničí</t>
  </si>
  <si>
    <t>seskupení pol.81 - Financování z tuzemska</t>
  </si>
  <si>
    <t>Uhrazené splátky dlouhodobých přijatých půjčených prostředků</t>
  </si>
  <si>
    <t xml:space="preserve">Splátka úvěru Komerční banky, a.s. na investiční projekty Olomouckého kraje.  </t>
  </si>
  <si>
    <t>seskupení pol.82 - Financování ze zahraničí</t>
  </si>
  <si>
    <t>Splátka úvěru Evrospké investiční banky na projekt "Modernizace silniční sítě".</t>
  </si>
  <si>
    <t xml:space="preserve">Splátka úvěrového rámce od Evropské investiční banky na spolufinancování evropských programů a investičních akcí Olomouckého kraje.  </t>
  </si>
  <si>
    <t xml:space="preserve">Dlouhodobé přijaté půjčené prostředky (úvěr - investiční) </t>
  </si>
  <si>
    <t>a) Příjmy Olomouckého kraje - rekapitulace</t>
  </si>
  <si>
    <t>b) Výdaje Olomouckého kraje - rekapitulace</t>
  </si>
  <si>
    <t>c) Dotační programy/tituly - rekapitulace</t>
  </si>
  <si>
    <t>d) Příspěvkové organizace - rekapitulace</t>
  </si>
  <si>
    <t>e) Fond sociálních potřeba</t>
  </si>
  <si>
    <t>f) Fond na podporu výstavby a obnovy vodohospodářské infrastruktury na území Olomouckého kraje</t>
  </si>
  <si>
    <t xml:space="preserve">g) Financování </t>
  </si>
  <si>
    <t xml:space="preserve">h) Financování oprav, investičních akcí a projektů </t>
  </si>
  <si>
    <t>a) zapojení zůstatků na bankovních účtech z minulého období a zapojení úvěrů</t>
  </si>
  <si>
    <t>10</t>
  </si>
  <si>
    <t>14</t>
  </si>
  <si>
    <t>17</t>
  </si>
  <si>
    <t>18</t>
  </si>
  <si>
    <t>19</t>
  </si>
  <si>
    <t>20-21</t>
  </si>
  <si>
    <t>22</t>
  </si>
  <si>
    <t>75</t>
  </si>
  <si>
    <t>76</t>
  </si>
  <si>
    <t>77</t>
  </si>
  <si>
    <t>83</t>
  </si>
  <si>
    <t>86</t>
  </si>
  <si>
    <t xml:space="preserve">Seznam příloh: </t>
  </si>
  <si>
    <t xml:space="preserve">Návrh rozpočtu na rok 2021 je předkládán jako nevyrovnaný, kde ve zdrojích chybí částka ve výši 400 000 tis. Kč.  Za předpokladu, že schválena v ROK a ZOK Smlouva o revolvingovém úvěru v celkové výši 1 000 000 tis. Kč, bude v rámci financování (zdroj) doplněna částka ve výši 400 000 tis. Kč. </t>
  </si>
  <si>
    <t xml:space="preserve">a) rozpracované opravy </t>
  </si>
  <si>
    <t xml:space="preserve">c) nové opravy </t>
  </si>
  <si>
    <t xml:space="preserve">d) nové investice </t>
  </si>
  <si>
    <t xml:space="preserve">e) nákupy </t>
  </si>
  <si>
    <t xml:space="preserve">f) projekty z dotace - neinvestiční </t>
  </si>
  <si>
    <t xml:space="preserve">g) projekty z dotace - investiční </t>
  </si>
  <si>
    <t>Upravený rozpočet k 
31. 7. 2021</t>
  </si>
  <si>
    <t xml:space="preserve">z toho: běžné výdaje </t>
  </si>
  <si>
    <t xml:space="preserve">           kapitálové výdaje </t>
  </si>
  <si>
    <t>Personální útvar</t>
  </si>
  <si>
    <t>Běžné výdaje</t>
  </si>
  <si>
    <t>Kapitálové výdaje</t>
  </si>
  <si>
    <t>třída</t>
  </si>
  <si>
    <t xml:space="preserve">Běžné výdaje </t>
  </si>
  <si>
    <t xml:space="preserve">z toho: odbory </t>
  </si>
  <si>
    <t xml:space="preserve">Kapitálové výdaje </t>
  </si>
  <si>
    <t xml:space="preserve">            dotační programy / tituly</t>
  </si>
  <si>
    <t>14_01_01 Podpora regionálního značení</t>
  </si>
  <si>
    <t>14_01_02 Podpora farmářských trhů</t>
  </si>
  <si>
    <t>01_01_02 Podpora zpracování územně plánovací dokumentace</t>
  </si>
  <si>
    <t>01_01_01 Podpora budování a obnovy infrastruktury obce</t>
  </si>
  <si>
    <t>01_01_03 Podpora přípravy projektové dokumentace</t>
  </si>
  <si>
    <t>08_01_01 Podpora prevence kriminality</t>
  </si>
  <si>
    <t>08_01_02 Podpora prorodinných aktivit</t>
  </si>
  <si>
    <t xml:space="preserve">08_01_03 Podpora aktivit směřujících k sociálnímu začleňování </t>
  </si>
  <si>
    <t>08 -02 Program finanční podpory poskytování sociálních služeb v Olomouckém kraji - Podprogram č. 2</t>
  </si>
  <si>
    <t>06_02_01 Podpora sportovních akcí</t>
  </si>
  <si>
    <t>06_02_02 Dotace na získání ternérské licence</t>
  </si>
  <si>
    <t>06_02_03 Podpora reprezentantů ČR z Olomouckého kraje</t>
  </si>
  <si>
    <t xml:space="preserve">06_02_04 Podpora mládežnických reprezentantů ČR (do 21 let) z Olomouckého kraje </t>
  </si>
  <si>
    <t>06_01_01 Podpora celoroční sportovní činnosti</t>
  </si>
  <si>
    <t xml:space="preserve">06_01_02 Podpora přípravy dětí a mládeže na vrcholový sport </t>
  </si>
  <si>
    <t>06_09 Víceletá podpora v oblasti sportu 2022-2024</t>
  </si>
  <si>
    <t>06_09_01 Víceletá podpora významných sportovních akcí</t>
  </si>
  <si>
    <t>06_09_02 Víceletá podpora sportovní činnosti</t>
  </si>
  <si>
    <t>07_01_01 Obnova kulturních památek</t>
  </si>
  <si>
    <t>07_01_02 Obnova staveb drobné architektury místního významu</t>
  </si>
  <si>
    <t>07_01_03 Obnova nemovitostí, které nejsou kulturní památkou, nacházejících se na území památkových rezervací a památkových zón a jejich ochranných pásem</t>
  </si>
  <si>
    <t>10_02_03 Doléčovací programy</t>
  </si>
  <si>
    <t xml:space="preserve">10_01_01 Podpora zdravotně-preventivních aktivit pro všechny skupiny obyvatel </t>
  </si>
  <si>
    <t>10_01_02 Podpora významných aktivit v oblasti zdravotnictví</t>
  </si>
  <si>
    <t>12_01_01 Nadregionální akce cestovního ruchu</t>
  </si>
  <si>
    <t xml:space="preserve">12_01_02 Podpora rozvoje zahraničních vztahů </t>
  </si>
  <si>
    <t xml:space="preserve">12_01_03 Podpora turistických informačních center </t>
  </si>
  <si>
    <t xml:space="preserve">12_01_04 Podpora rozvoje cestovního ruchu </t>
  </si>
  <si>
    <t>11</t>
  </si>
  <si>
    <t>12</t>
  </si>
  <si>
    <t>13</t>
  </si>
  <si>
    <t>Rezerva - PO</t>
  </si>
  <si>
    <t>07</t>
  </si>
  <si>
    <t xml:space="preserve">            příspěvkové organizace </t>
  </si>
  <si>
    <t xml:space="preserve">            Fond sociálních potřeb</t>
  </si>
  <si>
    <t xml:space="preserve">            Fond na podporu výstavby a obnovy 
            vodohospodářské infrastruktury na území 
            Olomouckého kraje </t>
  </si>
  <si>
    <t>03_01 Fond na podporu výstavby a obnovy vodohospodářské infrastruktury na území Olomouckého kraje 2022</t>
  </si>
  <si>
    <t>03_01_01 Výstavba, dostavba, intenzifikace čistíren odpadních vod včetně kořenových čistíren odpadních vod a kanalizací  (UZ 470)</t>
  </si>
  <si>
    <t>03_01_02 Výstavba a dostavba vodovodů pro veřejnou potřebu a úpraven vod (UZ 471)</t>
  </si>
  <si>
    <t>03_01_03 Obnova environmentálních funkcí území  (UZ 472)</t>
  </si>
  <si>
    <t xml:space="preserve">Příloha </t>
  </si>
  <si>
    <t>Předfinancování - úvěr</t>
  </si>
  <si>
    <t>Předfinancování - rozpočet OK</t>
  </si>
  <si>
    <t xml:space="preserve">a) </t>
  </si>
  <si>
    <t>rozpracované opravy</t>
  </si>
  <si>
    <t xml:space="preserve">b) </t>
  </si>
  <si>
    <t>rozpracované investice</t>
  </si>
  <si>
    <t>c)</t>
  </si>
  <si>
    <t>nové opravy</t>
  </si>
  <si>
    <t xml:space="preserve">d) </t>
  </si>
  <si>
    <t>nové investice</t>
  </si>
  <si>
    <t>e)</t>
  </si>
  <si>
    <t>nákupy</t>
  </si>
  <si>
    <t xml:space="preserve">f) </t>
  </si>
  <si>
    <t>projekty - neinvestiční</t>
  </si>
  <si>
    <t>g)</t>
  </si>
  <si>
    <t>projekty - investiční</t>
  </si>
  <si>
    <t>běžné výdaje</t>
  </si>
  <si>
    <t xml:space="preserve">kapitálové výdaje </t>
  </si>
  <si>
    <t>celkem</t>
  </si>
  <si>
    <t xml:space="preserve">Nedaňové příjmy </t>
  </si>
  <si>
    <t xml:space="preserve">Kapitálové příjmy </t>
  </si>
  <si>
    <t>Přijaté transfery</t>
  </si>
  <si>
    <t xml:space="preserve">Financování             </t>
  </si>
  <si>
    <t xml:space="preserve">             splátky úvěrů - dle splátkového kalendáře</t>
  </si>
  <si>
    <t>b) rozpracované investice</t>
  </si>
  <si>
    <t>-</t>
  </si>
  <si>
    <t xml:space="preserve">Dotační programy / tituly </t>
  </si>
  <si>
    <t>nárůst/snížení v tis. Kč</t>
  </si>
  <si>
    <t xml:space="preserve">Odbory Krajského úřadu Olomouckého kraje </t>
  </si>
  <si>
    <t xml:space="preserve">            příspěvkové organizace - dopravní obslužnost</t>
  </si>
  <si>
    <t xml:space="preserve">            Opravy a projekty</t>
  </si>
  <si>
    <t xml:space="preserve">            Investice a projekty</t>
  </si>
  <si>
    <t>nárůst/snížení 
v tis.Kč</t>
  </si>
  <si>
    <t>5=4/3</t>
  </si>
  <si>
    <t>6=4-3</t>
  </si>
  <si>
    <t xml:space="preserve">            dlouhodobé přijaté půjčené prostředky (úvěr - 
             investiční - 1 000 tis.Kč) </t>
  </si>
  <si>
    <t>71</t>
  </si>
  <si>
    <t>78</t>
  </si>
  <si>
    <t>a) Zapojení zůstatku na bankovních účtech z minulého období  a zapojení úvěrů</t>
  </si>
  <si>
    <t>b) Splátky úvěrů</t>
  </si>
  <si>
    <t xml:space="preserve">Příjem z poskytování služeb a ostatní příjmy z vlastní činnosti </t>
  </si>
  <si>
    <t xml:space="preserve">            Odbory - platy a podobné související výdaje 
            (ORJ 01 a 02)</t>
  </si>
  <si>
    <t xml:space="preserve">            příspěvek na provoz - plyn</t>
  </si>
  <si>
    <t xml:space="preserve">            příspěvek na provoz - elektřina</t>
  </si>
  <si>
    <t xml:space="preserve">Neinvestiční přijaté transfery od obcí a krajů </t>
  </si>
  <si>
    <t>Příjem z daně z příjmů fyzických osob placená plátci</t>
  </si>
  <si>
    <t>Příjem z daně z příjmů fyzických osob placená poplatníky</t>
  </si>
  <si>
    <t xml:space="preserve">Příjem z daně z příjmů právnických osob </t>
  </si>
  <si>
    <t>Příjem z daně z přidané hodnoty</t>
  </si>
  <si>
    <t>Příjem ze správních poplatků</t>
  </si>
  <si>
    <t>Příjem z poskytování služeb, výrobků, prací, výkonů a práv</t>
  </si>
  <si>
    <t xml:space="preserve">Příjem z odvodů příspěvkových organizací </t>
  </si>
  <si>
    <t xml:space="preserve">Příjem z pronájmu  nebo pachtu pozemků      </t>
  </si>
  <si>
    <t xml:space="preserve">Příjem z pronájmu nebo pachtu ostatních nemovitých věcí a jejich částí    </t>
  </si>
  <si>
    <t>Příjem z pronájmu nebo pachtu movitých věcí</t>
  </si>
  <si>
    <t xml:space="preserve">Příjem sankčních plateb přijatých od státu, obcí a krajů     </t>
  </si>
  <si>
    <t>Příjem sančních plateb přijatých od jiných osob</t>
  </si>
  <si>
    <t xml:space="preserve">Příjem z prodeje krátkodobého a drobného dlouhodobého majetku </t>
  </si>
  <si>
    <t>Přijaté neinvestiční příspěvky a náhrady</t>
  </si>
  <si>
    <t xml:space="preserve">Příjem z prodeje pozemků       </t>
  </si>
  <si>
    <t xml:space="preserve">Příjem z prodeje ostatních nemovitých věcí a jejich částí </t>
  </si>
  <si>
    <t xml:space="preserve">Příjem z prodeje ostatního hmotného dlouhodobého majetku </t>
  </si>
  <si>
    <t>Příjem z úroků</t>
  </si>
  <si>
    <t>Neinvestiční přijaté transfery ze státního rozpočtu v rámci souhrnného dotačního vztahu</t>
  </si>
  <si>
    <t xml:space="preserve">Neinvestiční přijaté transfery od obcí </t>
  </si>
  <si>
    <t>Neinvestiční přijaté transfery od krajů</t>
  </si>
  <si>
    <t xml:space="preserve">Daňové příjmy </t>
  </si>
  <si>
    <t xml:space="preserve">Odbor kancelář ředitele - nouzové ubytování </t>
  </si>
  <si>
    <r>
      <t xml:space="preserve">Odbory - platy a podobné související výdaje </t>
    </r>
    <r>
      <rPr>
        <sz val="10"/>
        <rFont val="Arial"/>
        <family val="2"/>
        <charset val="238"/>
      </rPr>
      <t>(ORJ 01 a 02)</t>
    </r>
  </si>
  <si>
    <t xml:space="preserve">15_01_01 Podpora přípravy a realizace SMART opatření </t>
  </si>
  <si>
    <t xml:space="preserve">15_01_02 Podpora realizace SMART opatření v oblasti eHealth </t>
  </si>
  <si>
    <t xml:space="preserve">05_04 Víceletá podpora významných kulturních projektů </t>
  </si>
  <si>
    <t>11_01_05 Podpora odborného vzdělávání nelékařských zdravotnických pracovníků v oblasti paliativní péče</t>
  </si>
  <si>
    <t xml:space="preserve">11_01_03 Podpora poskytovatelů domácí paliativní péče v oboru paliativní péče </t>
  </si>
  <si>
    <t>311</t>
  </si>
  <si>
    <t>312</t>
  </si>
  <si>
    <t xml:space="preserve">g) příspěvek na mezikrajské smlouvy na drážní dopravu </t>
  </si>
  <si>
    <t xml:space="preserve">a) na havárie </t>
  </si>
  <si>
    <t>b) na energie</t>
  </si>
  <si>
    <t>313</t>
  </si>
  <si>
    <t>c) dopravní obslužnost</t>
  </si>
  <si>
    <t xml:space="preserve">Opravy, investice, nákupy a projekty </t>
  </si>
  <si>
    <t>16</t>
  </si>
  <si>
    <t>15</t>
  </si>
  <si>
    <t>13-14</t>
  </si>
  <si>
    <t>11-12</t>
  </si>
  <si>
    <t>9-10</t>
  </si>
  <si>
    <t>7-8</t>
  </si>
  <si>
    <t>23-26</t>
  </si>
  <si>
    <t>27-30</t>
  </si>
  <si>
    <t>31-32</t>
  </si>
  <si>
    <t>33-35</t>
  </si>
  <si>
    <t>36-37</t>
  </si>
  <si>
    <t>38-40</t>
  </si>
  <si>
    <t>41-42</t>
  </si>
  <si>
    <t>43-44</t>
  </si>
  <si>
    <t>45</t>
  </si>
  <si>
    <t>46-49</t>
  </si>
  <si>
    <t>50-52</t>
  </si>
  <si>
    <t>53-55</t>
  </si>
  <si>
    <t>56-58</t>
  </si>
  <si>
    <t>59</t>
  </si>
  <si>
    <t>60-61</t>
  </si>
  <si>
    <t>Odbor kancelář ředitele - nouzové ubytování</t>
  </si>
  <si>
    <t>Příjem z daně z příjmů fyzických osob vybíraná srážkou podle zvláštní sazby</t>
  </si>
  <si>
    <t xml:space="preserve">Změna stavu krátkodobých prostředků na bankovních účtech a aktivní krátkodobé operace řízení likvidity - příjmy </t>
  </si>
  <si>
    <t xml:space="preserve">z toho: změna stavu krátkodobých prostředků na
            bankovních účtech a aktivní krátkodobé operace 
            řízení likvidity - příjmy </t>
  </si>
  <si>
    <t>pol.  8117 - Aktivní krátkodobé operace řízení likvidity - příjmy</t>
  </si>
  <si>
    <t>1. Návrh rozpočtu Olomouckého kraje na rok 2024 (bilance) - zkrácená verze</t>
  </si>
  <si>
    <t>Schválený rozpočet 2023</t>
  </si>
  <si>
    <t xml:space="preserve">Návrh rozpočtu 2024
 </t>
  </si>
  <si>
    <t xml:space="preserve">           příspěvek na provoz - teplo </t>
  </si>
  <si>
    <t>h) energetika</t>
  </si>
  <si>
    <t xml:space="preserve">     z toho: předfinancování </t>
  </si>
  <si>
    <t xml:space="preserve"> z toho: předfinancování</t>
  </si>
  <si>
    <t>1 a) PŘÍJMY OLOMOUCKÉHO KRAJE NA ROK 2024</t>
  </si>
  <si>
    <t>Upravený rozpočet k 
31. 7. 2023</t>
  </si>
  <si>
    <t>Návrh rozpočtu 2024</t>
  </si>
  <si>
    <t>1 b) Výdaje Olomouckého kraje na rok 2024</t>
  </si>
  <si>
    <t>1 c) Výdaje Olomouckého kraje na rok 2024</t>
  </si>
  <si>
    <t>14_01 Program na podporu místních produktů 2024</t>
  </si>
  <si>
    <t>01_01 Program obnovy venkova Olomouckého kraje 2024</t>
  </si>
  <si>
    <t>15_01 Smart region Olomoucký kraj 2024</t>
  </si>
  <si>
    <t>02_01 Program na podporu včelařů na území Olomouckého kraje 2024</t>
  </si>
  <si>
    <t>02_02 Program na podporu aktivit v oblasti životního prostředí a zemědělství 2024</t>
  </si>
  <si>
    <t>02_02_01 Podpora realizace opatření v oblasti životního prostředí a zemědělství</t>
  </si>
  <si>
    <t>02_02_02 Podpora vzdělávání a osvěty v oblasti životního prostředí a zemědělství</t>
  </si>
  <si>
    <t>02_02_03 Podpora činnosti nekomerčních zájmových spolků a organizací působících v oblasti životního prostředí a zemědělství</t>
  </si>
  <si>
    <t>02_04 Program na podporu aktivit v oblasti životního prostředí a zemědělství 2023-II</t>
  </si>
  <si>
    <t>03_02 Dotace obcím na území Olomouckého kraje na řešení mimořádných událostí v oblasti vodohospodářské infrastruktury 2024</t>
  </si>
  <si>
    <t>04_01 Program na podporu vzdělávání na vysokých školách v Olomouckém kraji v roce 2024</t>
  </si>
  <si>
    <t>04_02 Studijní stipendium Olomouckého kraje na studium v zahraničí v roce 2024</t>
  </si>
  <si>
    <t>04_03 Program na podporu environmentálního vzdělávání, výchovy a osvěty v Olomouckém kraji v roce 2024</t>
  </si>
  <si>
    <t>04_04 Program na podporu práce s dětmi a mládeží v Olomouckém kraji v roce 2024</t>
  </si>
  <si>
    <t>08_01 Dotační program pro sociální oblast 2024</t>
  </si>
  <si>
    <t>08_01_04 Podpora infrastruktury sociálních služeb na území Olomouckého kraje</t>
  </si>
  <si>
    <t xml:space="preserve">08_03 Dotační program na podporu dluhového poradenství v Olomouckém kraji </t>
  </si>
  <si>
    <t>09_01 Podpora výstavby a oprav cyklostezek 2024</t>
  </si>
  <si>
    <t>09_02 Podopora opatření pro zvýšení bezpečnosti provozu a budování přechodů pro chodce 2024</t>
  </si>
  <si>
    <t>09_03 Podpora výstavby, obnovy a vybavení dětských dopravních hřišť 2024</t>
  </si>
  <si>
    <t>06_02 Program na podporu sportu v Olomouckém kraji v roce 2024</t>
  </si>
  <si>
    <t>06_03 Program na podporu volnočasových aktivit se zaměřením na tělovýchovu a rekreační sport v Olomouckém kraji v roce 2024</t>
  </si>
  <si>
    <t>06_04 Program na podporu sportovní činnosti dětí a mládeže v Olomouckém kraji v roce 2024</t>
  </si>
  <si>
    <t>06_01 Program na podporu sportovní činnosti v Olomouckém kraji v roce 2024</t>
  </si>
  <si>
    <t>06_05 Program na podporu handicapovaných sportovců v Olomouckém kraji v roce 2024</t>
  </si>
  <si>
    <t>06_07 Program na podporu rekonstrukci sportovních zařízení v obcích Olomouckého kraje  v roce 2024</t>
  </si>
  <si>
    <t>06_06 Program na podporu investičních akcí v oblasti sportu - technické a sportovní vybavení sportovních a tělovýchovných zařízení v Olomouckém kraji v roce 2024</t>
  </si>
  <si>
    <t>06_08 Program na podporu výstavby a rekonstrukci sportovních zařízení kofinancovaných z Národní sportovní agentury v roce 2024</t>
  </si>
  <si>
    <t>07_01 Program památkové péče v Olomouckém kraji v roce 2024</t>
  </si>
  <si>
    <t>05_01 Program podpory kultury v Olomouckém kraji v roce 2024</t>
  </si>
  <si>
    <t>05_02 Program na podporu stálých profesionálních souborů v Olomouckém kraji v roce 2024</t>
  </si>
  <si>
    <t>05_03 Program na podporu investičních projektů v oblasti kultury v Olomouckém kraji v roce 2024</t>
  </si>
  <si>
    <t>05_03 Program na podporu pořízení drobného majektu v oblasti kultury v Olomouckém kraji v roce 2024</t>
  </si>
  <si>
    <t>10_02 Program pro oblast protidrogové prevence v roce 2024</t>
  </si>
  <si>
    <t>10_02_01 Podpora kontaktních a poradenských služeb a terénních programů</t>
  </si>
  <si>
    <t>10_02_02 Podpora ambulantní léčby a doléčovacích programů</t>
  </si>
  <si>
    <t>10_02_04 Podpora specificke selektivní a indikované primární prevence</t>
  </si>
  <si>
    <t>10_01 Program na podporu zdraví a zdravého životního stylu v roce 2024</t>
  </si>
  <si>
    <t>10_03 Program pro vzdělávání ve zdravotnictví v roce 2024</t>
  </si>
  <si>
    <t>10_04  Program podpory stipendií poskytovatelů akutní lůžkové péče v roce 2022</t>
  </si>
  <si>
    <t xml:space="preserve">10_04_ Program na podporu poskytovatelů stipendií ve zdravotnictví v roce 2024 </t>
  </si>
  <si>
    <t>11_01 Program na podporu poskytovatelů paliativní péče v roce 2024</t>
  </si>
  <si>
    <t>11_01_01  Podpora poskytovatelů lůžkové paliativní péče</t>
  </si>
  <si>
    <t>11_01_02 Podpora poskytovatelů domácí paliativní péče</t>
  </si>
  <si>
    <t>11_01_04 Podpora vzdělávání v oblasti paliativní péče</t>
  </si>
  <si>
    <t>12_01 Program na podporu cestovního ruchu a zahraničních vztahů 2024</t>
  </si>
  <si>
    <t>12_01_05 Podpora kinematografie</t>
  </si>
  <si>
    <t>13_02 Program na podporu JSDH 2024</t>
  </si>
  <si>
    <t>13_02_01 Dotace na pořízení, technické zhodnocení a opravu požární techniky, nákup věcného vybavení a zajištění akceschopnosti JSDH obcí Olomouckého kraje 2024</t>
  </si>
  <si>
    <t>13_02_02 Dotace na pořízení cisternových automobilových stříkaček a dopravních automobilů pro JSDH obcí Olomouckého kraje s dotací MV ČR  2024</t>
  </si>
  <si>
    <t>13_01 Dotace na činnost a akce spolků hasičů a pobočných spolků hasičů Olomouckého kraje 2024</t>
  </si>
  <si>
    <t>13_01_01 Dotace na akce spolků hasičů a pobočných spolků hasičů Olomouckého kraje 2024</t>
  </si>
  <si>
    <t>13_01_02 Dotace na činnost spolků hasičů a pobočných spolků hasičů Olomouckého kraje 2024</t>
  </si>
  <si>
    <t xml:space="preserve">Návratné finanční výpomoci </t>
  </si>
  <si>
    <t>3. Výdaje Olomouckého kraje na rok 2024</t>
  </si>
  <si>
    <t>Srovnání (nárůst)</t>
  </si>
  <si>
    <t>UPRAVENÝ ROZPOČET                    (k 31.7.2023)</t>
  </si>
  <si>
    <t>b) příspěvek na provoz - mzdové náklady</t>
  </si>
  <si>
    <t>c) příspěvek na provoz - odpisy</t>
  </si>
  <si>
    <t>d) příspěvek na provoz - účelově určený příspěvek</t>
  </si>
  <si>
    <t>e) příspěvek na provoz - plyn</t>
  </si>
  <si>
    <t>f) příspěvek na provoz - elektrická energie</t>
  </si>
  <si>
    <t>g) příspěvek na provoz - teplo</t>
  </si>
  <si>
    <t>314</t>
  </si>
  <si>
    <t xml:space="preserve">c) příspěvek na úhradu protarifovací ztráty - drážní doprava </t>
  </si>
  <si>
    <t xml:space="preserve">e) příspěvek na provoz - nájemné </t>
  </si>
  <si>
    <t>f) příspěvek na provoz - záchr. archeol. Výzkum</t>
  </si>
  <si>
    <t xml:space="preserve">g) příspěvek na provoz - plyn </t>
  </si>
  <si>
    <t>h) příspěvek na provoz - elektrická energie</t>
  </si>
  <si>
    <t xml:space="preserve">i) příspěvek na provoz - teplo </t>
  </si>
  <si>
    <t>a) účelově určený příspěvek</t>
  </si>
  <si>
    <t>d) energeticky úsporná opatření</t>
  </si>
  <si>
    <t>315</t>
  </si>
  <si>
    <t xml:space="preserve">Účelové dotace ze státního rozpočtu </t>
  </si>
  <si>
    <t>e) příspěvek na provoz - nájemné</t>
  </si>
  <si>
    <t>j) REZERVA - záchr. archeologický výzkum</t>
  </si>
  <si>
    <t>k) rezerva pro PO</t>
  </si>
  <si>
    <t>i) rezerva pro PO - vybevení DM</t>
  </si>
  <si>
    <t>310</t>
  </si>
  <si>
    <t>1 d) Výdaje Olomouckého kraje na rok 2024</t>
  </si>
  <si>
    <t>1 e) Výdaje Olomouckého kraje na rok 2024</t>
  </si>
  <si>
    <t>Výdaje na neinvestiční nákupy a související výdaje</t>
  </si>
  <si>
    <t xml:space="preserve">Neinvestiční transfery a některé náhrady fyzickým osobám </t>
  </si>
  <si>
    <t>Výdaje na platy a obdobné a související výdaje</t>
  </si>
  <si>
    <t>1 f) Výdaje Olomouckého kraje na rok 2024</t>
  </si>
  <si>
    <t>Mgr. Ing. Jitka Hejlová</t>
  </si>
  <si>
    <t>Ostatní neinevestiční výdaje</t>
  </si>
  <si>
    <t>Celkové náklady v roce 2024</t>
  </si>
  <si>
    <t>třída 5</t>
  </si>
  <si>
    <t>třída 6</t>
  </si>
  <si>
    <t>h)</t>
  </si>
  <si>
    <t>Energetika</t>
  </si>
  <si>
    <t xml:space="preserve">hrazeno z rozpočtu Olomouckého kraje celkem </t>
  </si>
  <si>
    <t>1 h) Návrh rozpočtu Olomouckého kraje na rok 2024</t>
  </si>
  <si>
    <t>1 g) Výdaje Olomouckého kraje na rok 2024</t>
  </si>
  <si>
    <t xml:space="preserve">Financování </t>
  </si>
  <si>
    <t>Upravený rozpočet k 
31.7. 2023</t>
  </si>
  <si>
    <t xml:space="preserve">pol.  8115 - Změny stavu krátkodobých prostředků na bankovních účtech kromě změn stavů účtů státních finančních aktiv, které tvoří kapitolu Operace státních finančních aktiv </t>
  </si>
  <si>
    <t>Splátka úvěru Komerční banky, a.s. na kofinancování evropských programů</t>
  </si>
  <si>
    <t xml:space="preserve">Splátka revolvingového úvěru u Komerční banky na kofinancování a předfinancování projektů </t>
  </si>
  <si>
    <t>2. Příjmy Olomouckého kraje na rok 2024</t>
  </si>
  <si>
    <t>5. Opravy, investice, nákupy a projekty v roce 2024</t>
  </si>
  <si>
    <t>6. Očekávané plnění rozpočtu Olomouckého kraje k 31.12.2023</t>
  </si>
  <si>
    <t>73-74</t>
  </si>
  <si>
    <t>79</t>
  </si>
  <si>
    <t>80-82</t>
  </si>
  <si>
    <t>84</t>
  </si>
  <si>
    <t>87</t>
  </si>
  <si>
    <t>88-95</t>
  </si>
  <si>
    <t>96-97</t>
  </si>
  <si>
    <t>98-99</t>
  </si>
  <si>
    <t>100-101</t>
  </si>
  <si>
    <t>102-103</t>
  </si>
  <si>
    <t>104-105</t>
  </si>
  <si>
    <t>106</t>
  </si>
  <si>
    <t>109-207</t>
  </si>
  <si>
    <t>208-209</t>
  </si>
  <si>
    <t>210-216</t>
  </si>
  <si>
    <t>Příjmy Olomouckého kraje na rok 2024</t>
  </si>
  <si>
    <t>Návrh daňových příjmů Olomouckého kraje na rok 2024</t>
  </si>
  <si>
    <t xml:space="preserve">Příjmy Olomouckého kraje na rok 2024 - přehled za odbory </t>
  </si>
  <si>
    <t>Příjmy Olomouckého kraje na rok 2024 - odvody příspěvkových organizací</t>
  </si>
  <si>
    <t>62-63</t>
  </si>
  <si>
    <t>64</t>
  </si>
  <si>
    <t>65-70</t>
  </si>
  <si>
    <t>72</t>
  </si>
  <si>
    <t>mezisoučet - daňové příjmy - příjmy z RUD</t>
  </si>
  <si>
    <t>1. Bilance dle tříd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</si>
</sst>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"/>
    <numFmt numFmtId="165" formatCode="0.0"/>
    <numFmt numFmtId="166" formatCode="00"/>
    <numFmt numFmtId="167" formatCode="0\-00"/>
    <numFmt numFmtId="168" formatCode="\+#,##0"/>
    <numFmt numFmtId="169" formatCode="\-\ "/>
    <numFmt numFmtId="170" formatCode="_-* #,##0.00\ _K_č_-;\-* #,##0.00\ _K_č_-;_-* &quot;-&quot;??\ _K_č_-;_-@_-"/>
    <numFmt numFmtId="171" formatCode="#,##0.0\ &quot;Kč&quot;"/>
    <numFmt numFmtId="172" formatCode="#,##0_\&quot;tis.Kč&quot;"/>
  </numFmts>
  <fonts count="57" x14ac:knownFonts="1">
    <font>
      <sz val="11"/>
      <color theme="1"/>
      <name val="Calibri"/>
      <family val="2"/>
      <charset val="238"/>
      <scheme val="minor"/>
    </font>
    <font>
      <b/>
      <sz val="13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b/>
      <u/>
      <sz val="11"/>
      <name val="Arial"/>
      <family val="2"/>
      <charset val="238"/>
    </font>
    <font>
      <u/>
      <sz val="10"/>
      <name val="Arial"/>
      <family val="2"/>
      <charset val="238"/>
    </font>
    <font>
      <i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2"/>
      <name val="Arial"/>
      <family val="2"/>
      <charset val="238"/>
    </font>
    <font>
      <i/>
      <sz val="11"/>
      <color rgb="FF0070C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9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sz val="10.5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.5"/>
      <name val="Arial"/>
      <family val="2"/>
      <charset val="238"/>
    </font>
    <font>
      <sz val="10"/>
      <name val="Arial CE"/>
      <charset val="238"/>
    </font>
    <font>
      <sz val="9.5"/>
      <name val="Arial"/>
      <family val="2"/>
      <charset val="238"/>
    </font>
    <font>
      <sz val="10"/>
      <color rgb="FFFFFF00"/>
      <name val="Arial"/>
      <family val="2"/>
      <charset val="238"/>
    </font>
    <font>
      <sz val="11"/>
      <color rgb="FFFFFF00"/>
      <name val="Arial"/>
      <family val="2"/>
      <charset val="238"/>
    </font>
    <font>
      <b/>
      <i/>
      <sz val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5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8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i/>
      <sz val="11"/>
      <color rgb="FF00B0F0"/>
      <name val="Arial"/>
      <family val="2"/>
      <charset val="238"/>
    </font>
    <font>
      <i/>
      <sz val="10"/>
      <name val="Arial"/>
      <family val="2"/>
      <charset val="238"/>
    </font>
    <font>
      <sz val="11"/>
      <color rgb="FF0070C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i/>
      <sz val="8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9"/>
      <name val="Arial"/>
      <family val="2"/>
      <charset val="238"/>
    </font>
    <font>
      <sz val="11"/>
      <color rgb="FF0070C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double">
        <color auto="1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auto="1"/>
      </right>
      <top style="medium">
        <color indexed="64"/>
      </top>
      <bottom/>
      <diagonal/>
    </border>
    <border>
      <left style="double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auto="1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auto="1"/>
      </left>
      <right style="thin">
        <color indexed="64"/>
      </right>
      <top style="medium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auto="1"/>
      </bottom>
      <diagonal/>
    </border>
    <border>
      <left style="thin">
        <color indexed="64"/>
      </left>
      <right style="double">
        <color auto="1"/>
      </right>
      <top style="medium">
        <color indexed="64"/>
      </top>
      <bottom style="double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double">
        <color indexed="64"/>
      </right>
      <top/>
      <bottom/>
      <diagonal/>
    </border>
  </borders>
  <cellStyleXfs count="9">
    <xf numFmtId="0" fontId="0" fillId="0" borderId="0"/>
    <xf numFmtId="0" fontId="22" fillId="0" borderId="0"/>
    <xf numFmtId="170" fontId="8" fillId="0" borderId="0" applyFont="0" applyFill="0" applyBorder="0" applyAlignment="0" applyProtection="0"/>
    <xf numFmtId="0" fontId="21" fillId="0" borderId="0"/>
    <xf numFmtId="0" fontId="8" fillId="0" borderId="0"/>
    <xf numFmtId="0" fontId="31" fillId="0" borderId="0"/>
    <xf numFmtId="0" fontId="21" fillId="0" borderId="0"/>
    <xf numFmtId="0" fontId="8" fillId="0" borderId="0">
      <alignment wrapText="1"/>
    </xf>
    <xf numFmtId="0" fontId="8" fillId="0" borderId="0"/>
  </cellStyleXfs>
  <cellXfs count="1147">
    <xf numFmtId="0" fontId="0" fillId="0" borderId="0" xfId="0"/>
    <xf numFmtId="0" fontId="5" fillId="0" borderId="0" xfId="0" applyFont="1" applyFill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3" xfId="0" applyFont="1" applyFill="1" applyBorder="1"/>
    <xf numFmtId="0" fontId="6" fillId="0" borderId="13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horizontal="center"/>
    </xf>
    <xf numFmtId="0" fontId="8" fillId="0" borderId="0" xfId="0" applyFont="1" applyFill="1"/>
    <xf numFmtId="3" fontId="6" fillId="2" borderId="15" xfId="0" applyNumberFormat="1" applyFont="1" applyFill="1" applyBorder="1"/>
    <xf numFmtId="3" fontId="6" fillId="2" borderId="15" xfId="0" applyNumberFormat="1" applyFont="1" applyFill="1" applyBorder="1" applyAlignment="1">
      <alignment vertical="center"/>
    </xf>
    <xf numFmtId="0" fontId="7" fillId="0" borderId="18" xfId="0" applyFont="1" applyFill="1" applyBorder="1"/>
    <xf numFmtId="3" fontId="2" fillId="2" borderId="19" xfId="0" applyNumberFormat="1" applyFont="1" applyFill="1" applyBorder="1"/>
    <xf numFmtId="0" fontId="4" fillId="3" borderId="2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/>
    </xf>
    <xf numFmtId="3" fontId="10" fillId="0" borderId="0" xfId="0" applyNumberFormat="1" applyFont="1" applyFill="1"/>
    <xf numFmtId="0" fontId="7" fillId="3" borderId="2" xfId="0" applyFont="1" applyFill="1" applyBorder="1" applyAlignment="1">
      <alignment vertical="center"/>
    </xf>
    <xf numFmtId="0" fontId="5" fillId="3" borderId="32" xfId="0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center"/>
    </xf>
    <xf numFmtId="3" fontId="8" fillId="0" borderId="0" xfId="0" applyNumberFormat="1" applyFont="1" applyFill="1"/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3" fontId="13" fillId="2" borderId="15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/>
    <xf numFmtId="3" fontId="6" fillId="2" borderId="26" xfId="0" applyNumberFormat="1" applyFont="1" applyFill="1" applyBorder="1"/>
    <xf numFmtId="3" fontId="13" fillId="2" borderId="15" xfId="0" applyNumberFormat="1" applyFont="1" applyFill="1" applyBorder="1" applyAlignment="1">
      <alignment horizontal="right"/>
    </xf>
    <xf numFmtId="3" fontId="6" fillId="2" borderId="10" xfId="0" applyNumberFormat="1" applyFont="1" applyFill="1" applyBorder="1"/>
    <xf numFmtId="0" fontId="14" fillId="0" borderId="0" xfId="0" applyFont="1" applyFill="1"/>
    <xf numFmtId="0" fontId="8" fillId="2" borderId="0" xfId="0" applyFont="1" applyFill="1" applyAlignment="1">
      <alignment horizontal="right"/>
    </xf>
    <xf numFmtId="49" fontId="8" fillId="2" borderId="0" xfId="0" applyNumberFormat="1" applyFont="1" applyFill="1" applyBorder="1" applyAlignment="1">
      <alignment horizontal="right"/>
    </xf>
    <xf numFmtId="49" fontId="8" fillId="2" borderId="0" xfId="0" applyNumberFormat="1" applyFont="1" applyFill="1" applyAlignment="1">
      <alignment horizontal="right"/>
    </xf>
    <xf numFmtId="167" fontId="8" fillId="2" borderId="0" xfId="0" applyNumberFormat="1" applyFont="1" applyFill="1" applyAlignment="1">
      <alignment horizontal="right"/>
    </xf>
    <xf numFmtId="0" fontId="8" fillId="2" borderId="0" xfId="0" applyFont="1" applyFill="1"/>
    <xf numFmtId="0" fontId="8" fillId="2" borderId="0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right"/>
    </xf>
    <xf numFmtId="168" fontId="8" fillId="0" borderId="0" xfId="0" applyNumberFormat="1" applyFont="1" applyFill="1"/>
    <xf numFmtId="168" fontId="5" fillId="0" borderId="0" xfId="0" applyNumberFormat="1" applyFont="1" applyFill="1" applyAlignment="1">
      <alignment horizontal="center"/>
    </xf>
    <xf numFmtId="0" fontId="14" fillId="2" borderId="0" xfId="0" applyFont="1" applyFill="1"/>
    <xf numFmtId="0" fontId="8" fillId="2" borderId="0" xfId="0" applyFont="1" applyFill="1" applyAlignment="1">
      <alignment horizontal="right" vertical="center"/>
    </xf>
    <xf numFmtId="49" fontId="8" fillId="2" borderId="0" xfId="0" applyNumberFormat="1" applyFont="1" applyFill="1" applyAlignment="1">
      <alignment horizontal="right" vertical="center"/>
    </xf>
    <xf numFmtId="0" fontId="6" fillId="0" borderId="37" xfId="0" applyFont="1" applyFill="1" applyBorder="1" applyAlignment="1">
      <alignment horizontal="center"/>
    </xf>
    <xf numFmtId="0" fontId="6" fillId="0" borderId="15" xfId="0" applyFont="1" applyFill="1" applyBorder="1"/>
    <xf numFmtId="0" fontId="13" fillId="0" borderId="15" xfId="0" applyFont="1" applyFill="1" applyBorder="1"/>
    <xf numFmtId="0" fontId="13" fillId="0" borderId="35" xfId="0" applyFont="1" applyFill="1" applyBorder="1"/>
    <xf numFmtId="0" fontId="1" fillId="0" borderId="0" xfId="0" applyFont="1" applyFill="1" applyAlignment="1"/>
    <xf numFmtId="0" fontId="4" fillId="2" borderId="7" xfId="0" applyFont="1" applyFill="1" applyBorder="1"/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/>
    <xf numFmtId="166" fontId="8" fillId="2" borderId="0" xfId="0" applyNumberFormat="1" applyFont="1" applyFill="1" applyBorder="1" applyAlignment="1">
      <alignment horizontal="center"/>
    </xf>
    <xf numFmtId="166" fontId="8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6" fillId="2" borderId="0" xfId="0" applyFont="1" applyFill="1"/>
    <xf numFmtId="0" fontId="12" fillId="2" borderId="0" xfId="0" applyFont="1" applyFill="1"/>
    <xf numFmtId="0" fontId="7" fillId="2" borderId="0" xfId="0" applyFont="1" applyFill="1" applyBorder="1"/>
    <xf numFmtId="0" fontId="6" fillId="2" borderId="14" xfId="0" applyFont="1" applyFill="1" applyBorder="1" applyAlignment="1">
      <alignment horizontal="center"/>
    </xf>
    <xf numFmtId="0" fontId="6" fillId="2" borderId="9" xfId="0" applyFont="1" applyFill="1" applyBorder="1"/>
    <xf numFmtId="168" fontId="15" fillId="0" borderId="0" xfId="0" applyNumberFormat="1" applyFont="1" applyFill="1"/>
    <xf numFmtId="3" fontId="15" fillId="0" borderId="0" xfId="0" applyNumberFormat="1" applyFont="1" applyFill="1"/>
    <xf numFmtId="0" fontId="15" fillId="0" borderId="0" xfId="0" applyFont="1" applyFill="1"/>
    <xf numFmtId="3" fontId="15" fillId="0" borderId="0" xfId="0" applyNumberFormat="1" applyFont="1" applyFill="1" applyAlignment="1"/>
    <xf numFmtId="0" fontId="15" fillId="0" borderId="0" xfId="0" applyFont="1" applyFill="1" applyAlignment="1"/>
    <xf numFmtId="0" fontId="10" fillId="0" borderId="0" xfId="0" applyFont="1" applyFill="1"/>
    <xf numFmtId="168" fontId="14" fillId="0" borderId="0" xfId="0" applyNumberFormat="1" applyFont="1" applyFill="1" applyAlignment="1">
      <alignment vertical="center"/>
    </xf>
    <xf numFmtId="0" fontId="14" fillId="0" borderId="0" xfId="0" applyFont="1" applyFill="1" applyAlignment="1">
      <alignment vertical="center"/>
    </xf>
    <xf numFmtId="168" fontId="14" fillId="0" borderId="0" xfId="0" applyNumberFormat="1" applyFont="1" applyFill="1"/>
    <xf numFmtId="3" fontId="14" fillId="0" borderId="0" xfId="0" applyNumberFormat="1" applyFont="1" applyFill="1"/>
    <xf numFmtId="3" fontId="13" fillId="0" borderId="35" xfId="0" applyNumberFormat="1" applyFont="1" applyFill="1" applyBorder="1" applyAlignment="1">
      <alignment horizontal="left"/>
    </xf>
    <xf numFmtId="0" fontId="6" fillId="0" borderId="12" xfId="0" applyFont="1" applyFill="1" applyBorder="1"/>
    <xf numFmtId="0" fontId="15" fillId="0" borderId="0" xfId="0" applyFont="1" applyFill="1" applyAlignment="1">
      <alignment vertical="center"/>
    </xf>
    <xf numFmtId="3" fontId="15" fillId="0" borderId="0" xfId="0" applyNumberFormat="1" applyFont="1" applyFill="1" applyAlignment="1">
      <alignment vertical="center"/>
    </xf>
    <xf numFmtId="0" fontId="16" fillId="0" borderId="0" xfId="0" applyFont="1" applyFill="1"/>
    <xf numFmtId="3" fontId="6" fillId="2" borderId="21" xfId="0" applyNumberFormat="1" applyFont="1" applyFill="1" applyBorder="1"/>
    <xf numFmtId="3" fontId="2" fillId="3" borderId="28" xfId="0" applyNumberFormat="1" applyFont="1" applyFill="1" applyBorder="1"/>
    <xf numFmtId="0" fontId="6" fillId="0" borderId="27" xfId="0" applyFont="1" applyFill="1" applyBorder="1"/>
    <xf numFmtId="0" fontId="7" fillId="3" borderId="23" xfId="0" applyFont="1" applyFill="1" applyBorder="1" applyAlignment="1">
      <alignment horizontal="center"/>
    </xf>
    <xf numFmtId="0" fontId="7" fillId="3" borderId="24" xfId="0" applyFont="1" applyFill="1" applyBorder="1" applyAlignment="1">
      <alignment wrapText="1"/>
    </xf>
    <xf numFmtId="3" fontId="14" fillId="2" borderId="0" xfId="0" applyNumberFormat="1" applyFont="1" applyFill="1"/>
    <xf numFmtId="0" fontId="6" fillId="0" borderId="9" xfId="0" applyFont="1" applyFill="1" applyBorder="1"/>
    <xf numFmtId="3" fontId="6" fillId="0" borderId="10" xfId="0" applyNumberFormat="1" applyFont="1" applyFill="1" applyBorder="1" applyAlignment="1"/>
    <xf numFmtId="3" fontId="6" fillId="0" borderId="15" xfId="0" applyNumberFormat="1" applyFont="1" applyFill="1" applyBorder="1" applyAlignment="1"/>
    <xf numFmtId="3" fontId="6" fillId="0" borderId="15" xfId="0" applyNumberFormat="1" applyFont="1" applyFill="1" applyBorder="1" applyAlignment="1">
      <alignment vertical="center"/>
    </xf>
    <xf numFmtId="164" fontId="6" fillId="0" borderId="15" xfId="0" applyNumberFormat="1" applyFont="1" applyFill="1" applyBorder="1" applyAlignment="1">
      <alignment vertical="center"/>
    </xf>
    <xf numFmtId="164" fontId="6" fillId="0" borderId="15" xfId="0" applyNumberFormat="1" applyFont="1" applyFill="1" applyBorder="1" applyAlignment="1"/>
    <xf numFmtId="0" fontId="6" fillId="0" borderId="15" xfId="0" applyFont="1" applyFill="1" applyBorder="1" applyAlignment="1">
      <alignment wrapText="1"/>
    </xf>
    <xf numFmtId="0" fontId="2" fillId="0" borderId="18" xfId="0" applyFont="1" applyFill="1" applyBorder="1"/>
    <xf numFmtId="3" fontId="2" fillId="0" borderId="19" xfId="0" applyNumberFormat="1" applyFont="1" applyFill="1" applyBorder="1" applyAlignment="1"/>
    <xf numFmtId="0" fontId="6" fillId="0" borderId="18" xfId="0" applyFont="1" applyFill="1" applyBorder="1"/>
    <xf numFmtId="3" fontId="6" fillId="0" borderId="19" xfId="0" applyNumberFormat="1" applyFont="1" applyFill="1" applyBorder="1" applyAlignment="1"/>
    <xf numFmtId="0" fontId="6" fillId="0" borderId="0" xfId="0" applyFont="1" applyFill="1"/>
    <xf numFmtId="0" fontId="7" fillId="3" borderId="5" xfId="0" applyFont="1" applyFill="1" applyBorder="1" applyAlignment="1">
      <alignment horizontal="center"/>
    </xf>
    <xf numFmtId="0" fontId="7" fillId="3" borderId="32" xfId="0" applyFont="1" applyFill="1" applyBorder="1" applyAlignment="1">
      <alignment wrapText="1"/>
    </xf>
    <xf numFmtId="3" fontId="2" fillId="3" borderId="6" xfId="0" applyNumberFormat="1" applyFont="1" applyFill="1" applyBorder="1" applyAlignment="1"/>
    <xf numFmtId="168" fontId="6" fillId="0" borderId="0" xfId="0" applyNumberFormat="1" applyFont="1" applyFill="1"/>
    <xf numFmtId="3" fontId="6" fillId="0" borderId="0" xfId="0" applyNumberFormat="1" applyFont="1" applyFill="1"/>
    <xf numFmtId="0" fontId="6" fillId="0" borderId="13" xfId="0" applyFont="1" applyFill="1" applyBorder="1" applyAlignment="1"/>
    <xf numFmtId="0" fontId="13" fillId="0" borderId="15" xfId="0" applyFont="1" applyFill="1" applyBorder="1" applyAlignment="1"/>
    <xf numFmtId="0" fontId="17" fillId="3" borderId="42" xfId="0" applyFont="1" applyFill="1" applyBorder="1"/>
    <xf numFmtId="0" fontId="16" fillId="3" borderId="42" xfId="0" applyFont="1" applyFill="1" applyBorder="1"/>
    <xf numFmtId="0" fontId="16" fillId="3" borderId="0" xfId="0" applyFont="1" applyFill="1"/>
    <xf numFmtId="3" fontId="16" fillId="3" borderId="0" xfId="0" applyNumberFormat="1" applyFont="1" applyFill="1"/>
    <xf numFmtId="0" fontId="6" fillId="0" borderId="38" xfId="0" applyFont="1" applyFill="1" applyBorder="1" applyAlignment="1">
      <alignment horizontal="center"/>
    </xf>
    <xf numFmtId="168" fontId="14" fillId="0" borderId="0" xfId="0" applyNumberFormat="1" applyFont="1" applyFill="1" applyAlignment="1"/>
    <xf numFmtId="168" fontId="18" fillId="0" borderId="0" xfId="0" applyNumberFormat="1" applyFont="1" applyFill="1"/>
    <xf numFmtId="0" fontId="14" fillId="0" borderId="7" xfId="0" applyFont="1" applyFill="1" applyBorder="1" applyAlignment="1"/>
    <xf numFmtId="0" fontId="14" fillId="0" borderId="0" xfId="0" applyFont="1" applyFill="1" applyAlignment="1">
      <alignment horizontal="right"/>
    </xf>
    <xf numFmtId="3" fontId="4" fillId="3" borderId="3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7" fillId="0" borderId="0" xfId="0" applyFont="1" applyFill="1" applyBorder="1"/>
    <xf numFmtId="3" fontId="17" fillId="0" borderId="0" xfId="0" applyNumberFormat="1" applyFont="1" applyFill="1" applyBorder="1"/>
    <xf numFmtId="0" fontId="15" fillId="0" borderId="0" xfId="0" applyFont="1" applyFill="1" applyBorder="1"/>
    <xf numFmtId="3" fontId="15" fillId="0" borderId="0" xfId="0" applyNumberFormat="1" applyFont="1" applyFill="1" applyBorder="1"/>
    <xf numFmtId="164" fontId="6" fillId="0" borderId="30" xfId="0" applyNumberFormat="1" applyFont="1" applyFill="1" applyBorder="1"/>
    <xf numFmtId="164" fontId="6" fillId="0" borderId="39" xfId="0" applyNumberFormat="1" applyFont="1" applyFill="1" applyBorder="1"/>
    <xf numFmtId="0" fontId="14" fillId="0" borderId="0" xfId="0" applyFont="1" applyFill="1" applyAlignment="1"/>
    <xf numFmtId="3" fontId="14" fillId="0" borderId="0" xfId="0" applyNumberFormat="1" applyFont="1" applyFill="1" applyAlignment="1"/>
    <xf numFmtId="164" fontId="6" fillId="0" borderId="30" xfId="0" applyNumberFormat="1" applyFont="1" applyFill="1" applyBorder="1" applyAlignment="1">
      <alignment vertical="center"/>
    </xf>
    <xf numFmtId="3" fontId="14" fillId="0" borderId="0" xfId="0" applyNumberFormat="1" applyFont="1" applyFill="1" applyAlignment="1">
      <alignment vertical="center"/>
    </xf>
    <xf numFmtId="164" fontId="2" fillId="0" borderId="31" xfId="0" applyNumberFormat="1" applyFont="1" applyFill="1" applyBorder="1" applyAlignment="1">
      <alignment shrinkToFit="1"/>
    </xf>
    <xf numFmtId="164" fontId="6" fillId="0" borderId="31" xfId="0" applyNumberFormat="1" applyFont="1" applyFill="1" applyBorder="1"/>
    <xf numFmtId="164" fontId="2" fillId="3" borderId="33" xfId="0" applyNumberFormat="1" applyFont="1" applyFill="1" applyBorder="1"/>
    <xf numFmtId="164" fontId="6" fillId="2" borderId="15" xfId="0" applyNumberFormat="1" applyFont="1" applyFill="1" applyBorder="1"/>
    <xf numFmtId="3" fontId="16" fillId="0" borderId="0" xfId="0" applyNumberFormat="1" applyFont="1" applyFill="1" applyBorder="1"/>
    <xf numFmtId="3" fontId="16" fillId="0" borderId="0" xfId="0" applyNumberFormat="1" applyFont="1" applyFill="1"/>
    <xf numFmtId="4" fontId="26" fillId="3" borderId="48" xfId="2" applyNumberFormat="1" applyFont="1" applyFill="1" applyBorder="1" applyAlignment="1">
      <alignment vertical="center" shrinkToFit="1"/>
    </xf>
    <xf numFmtId="1" fontId="6" fillId="2" borderId="47" xfId="3" applyNumberFormat="1" applyFont="1" applyFill="1" applyBorder="1" applyAlignment="1">
      <alignment horizontal="center"/>
    </xf>
    <xf numFmtId="1" fontId="6" fillId="2" borderId="35" xfId="3" applyNumberFormat="1" applyFont="1" applyFill="1" applyBorder="1" applyAlignment="1">
      <alignment horizontal="center"/>
    </xf>
    <xf numFmtId="0" fontId="6" fillId="2" borderId="35" xfId="3" applyFont="1" applyFill="1" applyBorder="1" applyAlignment="1">
      <alignment wrapText="1"/>
    </xf>
    <xf numFmtId="1" fontId="6" fillId="2" borderId="47" xfId="3" applyNumberFormat="1" applyFont="1" applyFill="1" applyBorder="1" applyAlignment="1">
      <alignment horizontal="center" vertical="center"/>
    </xf>
    <xf numFmtId="1" fontId="6" fillId="2" borderId="35" xfId="3" applyNumberFormat="1" applyFont="1" applyFill="1" applyBorder="1" applyAlignment="1">
      <alignment horizontal="center" vertical="center"/>
    </xf>
    <xf numFmtId="0" fontId="6" fillId="2" borderId="35" xfId="3" applyFont="1" applyFill="1" applyBorder="1" applyAlignment="1">
      <alignment vertical="center" wrapText="1"/>
    </xf>
    <xf numFmtId="0" fontId="6" fillId="2" borderId="35" xfId="3" applyFont="1" applyFill="1" applyBorder="1"/>
    <xf numFmtId="0" fontId="23" fillId="0" borderId="0" xfId="4" applyFont="1" applyFill="1"/>
    <xf numFmtId="0" fontId="8" fillId="0" borderId="0" xfId="4" applyFill="1"/>
    <xf numFmtId="0" fontId="8" fillId="0" borderId="0" xfId="4" applyFont="1" applyFill="1"/>
    <xf numFmtId="4" fontId="8" fillId="0" borderId="0" xfId="4" applyNumberFormat="1" applyFont="1" applyFill="1"/>
    <xf numFmtId="0" fontId="29" fillId="0" borderId="0" xfId="4" applyFont="1" applyFill="1"/>
    <xf numFmtId="0" fontId="33" fillId="0" borderId="0" xfId="4" applyFont="1" applyFill="1"/>
    <xf numFmtId="0" fontId="2" fillId="0" borderId="0" xfId="4" applyFont="1" applyFill="1"/>
    <xf numFmtId="0" fontId="8" fillId="0" borderId="7" xfId="4" applyFont="1" applyFill="1" applyBorder="1"/>
    <xf numFmtId="4" fontId="8" fillId="0" borderId="0" xfId="4" applyNumberFormat="1" applyFont="1" applyFill="1" applyAlignment="1">
      <alignment horizontal="right"/>
    </xf>
    <xf numFmtId="3" fontId="8" fillId="3" borderId="3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3" fontId="8" fillId="3" borderId="6" xfId="4" applyNumberFormat="1" applyFont="1" applyFill="1" applyBorder="1" applyAlignment="1">
      <alignment horizontal="center" vertical="center" wrapText="1"/>
    </xf>
    <xf numFmtId="4" fontId="8" fillId="3" borderId="48" xfId="4" applyNumberFormat="1" applyFont="1" applyFill="1" applyBorder="1" applyAlignment="1">
      <alignment horizontal="center" vertical="center" wrapText="1"/>
    </xf>
    <xf numFmtId="0" fontId="7" fillId="2" borderId="0" xfId="4" applyFont="1" applyFill="1"/>
    <xf numFmtId="3" fontId="7" fillId="2" borderId="0" xfId="4" applyNumberFormat="1" applyFont="1" applyFill="1"/>
    <xf numFmtId="0" fontId="7" fillId="4" borderId="0" xfId="4" applyFont="1" applyFill="1"/>
    <xf numFmtId="0" fontId="6" fillId="2" borderId="0" xfId="4" applyFont="1" applyFill="1"/>
    <xf numFmtId="0" fontId="7" fillId="2" borderId="0" xfId="4" applyFont="1" applyFill="1" applyBorder="1"/>
    <xf numFmtId="3" fontId="7" fillId="2" borderId="0" xfId="4" applyNumberFormat="1" applyFont="1" applyFill="1" applyBorder="1"/>
    <xf numFmtId="3" fontId="7" fillId="4" borderId="0" xfId="4" applyNumberFormat="1" applyFont="1" applyFill="1"/>
    <xf numFmtId="0" fontId="7" fillId="4" borderId="0" xfId="4" applyFont="1" applyFill="1" applyBorder="1"/>
    <xf numFmtId="3" fontId="7" fillId="4" borderId="0" xfId="4" applyNumberFormat="1" applyFont="1" applyFill="1" applyBorder="1"/>
    <xf numFmtId="0" fontId="7" fillId="2" borderId="0" xfId="4" applyFont="1" applyFill="1" applyAlignment="1">
      <alignment horizontal="right"/>
    </xf>
    <xf numFmtId="3" fontId="7" fillId="3" borderId="3" xfId="4" applyNumberFormat="1" applyFont="1" applyFill="1" applyBorder="1"/>
    <xf numFmtId="4" fontId="7" fillId="3" borderId="4" xfId="4" applyNumberFormat="1" applyFont="1" applyFill="1" applyBorder="1"/>
    <xf numFmtId="0" fontId="6" fillId="0" borderId="0" xfId="4" applyFont="1" applyFill="1"/>
    <xf numFmtId="0" fontId="10" fillId="0" borderId="0" xfId="4" applyFont="1" applyFill="1"/>
    <xf numFmtId="0" fontId="34" fillId="0" borderId="0" xfId="4" applyFont="1" applyFill="1"/>
    <xf numFmtId="0" fontId="8" fillId="2" borderId="0" xfId="4" applyFont="1" applyFill="1"/>
    <xf numFmtId="4" fontId="8" fillId="2" borderId="0" xfId="4" applyNumberFormat="1" applyFont="1" applyFill="1"/>
    <xf numFmtId="3" fontId="6" fillId="2" borderId="0" xfId="4" applyNumberFormat="1" applyFont="1" applyFill="1"/>
    <xf numFmtId="0" fontId="23" fillId="2" borderId="0" xfId="4" applyFont="1" applyFill="1"/>
    <xf numFmtId="3" fontId="6" fillId="2" borderId="0" xfId="0" applyNumberFormat="1" applyFont="1" applyFill="1"/>
    <xf numFmtId="3" fontId="10" fillId="2" borderId="0" xfId="0" applyNumberFormat="1" applyFont="1" applyFill="1"/>
    <xf numFmtId="0" fontId="6" fillId="0" borderId="0" xfId="0" applyFont="1"/>
    <xf numFmtId="0" fontId="8" fillId="3" borderId="3" xfId="4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5" fillId="3" borderId="35" xfId="4" applyFont="1" applyFill="1" applyBorder="1" applyAlignment="1">
      <alignment horizontal="center"/>
    </xf>
    <xf numFmtId="3" fontId="5" fillId="3" borderId="45" xfId="0" applyNumberFormat="1" applyFont="1" applyFill="1" applyBorder="1" applyAlignment="1">
      <alignment horizontal="center" wrapText="1"/>
    </xf>
    <xf numFmtId="4" fontId="5" fillId="3" borderId="22" xfId="4" applyNumberFormat="1" applyFont="1" applyFill="1" applyBorder="1" applyAlignment="1">
      <alignment horizontal="center" vertical="center" wrapText="1"/>
    </xf>
    <xf numFmtId="0" fontId="5" fillId="0" borderId="0" xfId="4" applyFont="1" applyFill="1"/>
    <xf numFmtId="0" fontId="8" fillId="3" borderId="58" xfId="4" applyFont="1" applyFill="1" applyBorder="1"/>
    <xf numFmtId="3" fontId="7" fillId="3" borderId="58" xfId="4" applyNumberFormat="1" applyFont="1" applyFill="1" applyBorder="1"/>
    <xf numFmtId="4" fontId="26" fillId="3" borderId="59" xfId="0" applyNumberFormat="1" applyFont="1" applyFill="1" applyBorder="1"/>
    <xf numFmtId="0" fontId="26" fillId="0" borderId="0" xfId="0" applyFont="1" applyBorder="1"/>
    <xf numFmtId="0" fontId="6" fillId="0" borderId="0" xfId="0" applyFont="1" applyBorder="1"/>
    <xf numFmtId="0" fontId="6" fillId="2" borderId="60" xfId="0" applyFont="1" applyFill="1" applyBorder="1"/>
    <xf numFmtId="0" fontId="8" fillId="2" borderId="61" xfId="0" applyFont="1" applyFill="1" applyBorder="1" applyAlignment="1">
      <alignment horizontal="left"/>
    </xf>
    <xf numFmtId="3" fontId="26" fillId="2" borderId="61" xfId="0" applyNumberFormat="1" applyFont="1" applyFill="1" applyBorder="1"/>
    <xf numFmtId="4" fontId="26" fillId="2" borderId="62" xfId="0" applyNumberFormat="1" applyFont="1" applyFill="1" applyBorder="1"/>
    <xf numFmtId="0" fontId="8" fillId="2" borderId="47" xfId="0" applyFont="1" applyFill="1" applyBorder="1" applyAlignment="1">
      <alignment horizontal="left"/>
    </xf>
    <xf numFmtId="0" fontId="8" fillId="2" borderId="35" xfId="0" applyFont="1" applyFill="1" applyBorder="1" applyAlignment="1">
      <alignment wrapText="1"/>
    </xf>
    <xf numFmtId="3" fontId="8" fillId="2" borderId="35" xfId="0" applyNumberFormat="1" applyFont="1" applyFill="1" applyBorder="1"/>
    <xf numFmtId="4" fontId="8" fillId="2" borderId="22" xfId="0" applyNumberFormat="1" applyFont="1" applyFill="1" applyBorder="1"/>
    <xf numFmtId="0" fontId="8" fillId="2" borderId="63" xfId="0" applyFont="1" applyFill="1" applyBorder="1"/>
    <xf numFmtId="0" fontId="6" fillId="2" borderId="47" xfId="0" applyFont="1" applyFill="1" applyBorder="1"/>
    <xf numFmtId="0" fontId="8" fillId="2" borderId="21" xfId="0" applyFont="1" applyFill="1" applyBorder="1" applyAlignment="1">
      <alignment wrapText="1"/>
    </xf>
    <xf numFmtId="3" fontId="8" fillId="2" borderId="21" xfId="0" applyNumberFormat="1" applyFont="1" applyFill="1" applyBorder="1"/>
    <xf numFmtId="4" fontId="8" fillId="2" borderId="64" xfId="0" applyNumberFormat="1" applyFont="1" applyFill="1" applyBorder="1"/>
    <xf numFmtId="0" fontId="26" fillId="2" borderId="61" xfId="0" applyFont="1" applyFill="1" applyBorder="1" applyAlignment="1">
      <alignment horizontal="left"/>
    </xf>
    <xf numFmtId="0" fontId="8" fillId="2" borderId="35" xfId="0" applyFont="1" applyFill="1" applyBorder="1"/>
    <xf numFmtId="0" fontId="8" fillId="2" borderId="47" xfId="0" applyFont="1" applyFill="1" applyBorder="1"/>
    <xf numFmtId="0" fontId="26" fillId="2" borderId="66" xfId="0" applyFont="1" applyFill="1" applyBorder="1" applyAlignment="1">
      <alignment wrapText="1"/>
    </xf>
    <xf numFmtId="0" fontId="8" fillId="2" borderId="66" xfId="0" applyFont="1" applyFill="1" applyBorder="1"/>
    <xf numFmtId="0" fontId="26" fillId="2" borderId="66" xfId="0" applyFont="1" applyFill="1" applyBorder="1"/>
    <xf numFmtId="3" fontId="26" fillId="2" borderId="66" xfId="0" applyNumberFormat="1" applyFont="1" applyFill="1" applyBorder="1"/>
    <xf numFmtId="4" fontId="26" fillId="2" borderId="67" xfId="0" applyNumberFormat="1" applyFont="1" applyFill="1" applyBorder="1"/>
    <xf numFmtId="0" fontId="26" fillId="0" borderId="0" xfId="0" applyFont="1"/>
    <xf numFmtId="0" fontId="6" fillId="2" borderId="60" xfId="0" applyFont="1" applyFill="1" applyBorder="1" applyAlignment="1">
      <alignment vertical="center"/>
    </xf>
    <xf numFmtId="0" fontId="8" fillId="2" borderId="61" xfId="0" applyFont="1" applyFill="1" applyBorder="1"/>
    <xf numFmtId="0" fontId="26" fillId="2" borderId="61" xfId="0" applyFont="1" applyFill="1" applyBorder="1"/>
    <xf numFmtId="0" fontId="8" fillId="0" borderId="0" xfId="0" applyFont="1"/>
    <xf numFmtId="0" fontId="6" fillId="2" borderId="61" xfId="0" applyFont="1" applyFill="1" applyBorder="1"/>
    <xf numFmtId="0" fontId="8" fillId="2" borderId="21" xfId="0" applyFont="1" applyFill="1" applyBorder="1"/>
    <xf numFmtId="0" fontId="8" fillId="2" borderId="69" xfId="0" applyFont="1" applyFill="1" applyBorder="1"/>
    <xf numFmtId="0" fontId="8" fillId="2" borderId="70" xfId="0" applyFont="1" applyFill="1" applyBorder="1" applyAlignment="1">
      <alignment wrapText="1"/>
    </xf>
    <xf numFmtId="0" fontId="8" fillId="2" borderId="70" xfId="0" applyFont="1" applyFill="1" applyBorder="1"/>
    <xf numFmtId="3" fontId="8" fillId="2" borderId="70" xfId="0" applyNumberFormat="1" applyFont="1" applyFill="1" applyBorder="1"/>
    <xf numFmtId="0" fontId="6" fillId="2" borderId="65" xfId="0" applyFont="1" applyFill="1" applyBorder="1" applyAlignment="1">
      <alignment vertical="center"/>
    </xf>
    <xf numFmtId="0" fontId="8" fillId="2" borderId="66" xfId="0" applyFont="1" applyFill="1" applyBorder="1" applyAlignment="1">
      <alignment horizontal="right"/>
    </xf>
    <xf numFmtId="0" fontId="6" fillId="2" borderId="66" xfId="0" applyFont="1" applyFill="1" applyBorder="1"/>
    <xf numFmtId="0" fontId="6" fillId="2" borderId="17" xfId="0" applyFont="1" applyFill="1" applyBorder="1" applyAlignment="1">
      <alignment vertical="center"/>
    </xf>
    <xf numFmtId="0" fontId="8" fillId="2" borderId="19" xfId="0" applyFont="1" applyFill="1" applyBorder="1" applyAlignment="1">
      <alignment horizontal="right"/>
    </xf>
    <xf numFmtId="0" fontId="6" fillId="2" borderId="19" xfId="0" applyFont="1" applyFill="1" applyBorder="1"/>
    <xf numFmtId="3" fontId="26" fillId="2" borderId="19" xfId="0" applyNumberFormat="1" applyFont="1" applyFill="1" applyBorder="1"/>
    <xf numFmtId="4" fontId="26" fillId="2" borderId="20" xfId="0" applyNumberFormat="1" applyFont="1" applyFill="1" applyBorder="1"/>
    <xf numFmtId="0" fontId="26" fillId="2" borderId="61" xfId="0" applyFont="1" applyFill="1" applyBorder="1" applyAlignment="1">
      <alignment horizontal="left" wrapText="1"/>
    </xf>
    <xf numFmtId="0" fontId="8" fillId="2" borderId="61" xfId="0" applyFont="1" applyFill="1" applyBorder="1" applyAlignment="1">
      <alignment horizontal="right"/>
    </xf>
    <xf numFmtId="0" fontId="6" fillId="0" borderId="65" xfId="0" applyFont="1" applyBorder="1"/>
    <xf numFmtId="0" fontId="8" fillId="0" borderId="19" xfId="0" applyFont="1" applyBorder="1"/>
    <xf numFmtId="0" fontId="26" fillId="0" borderId="19" xfId="0" applyFont="1" applyBorder="1"/>
    <xf numFmtId="3" fontId="26" fillId="0" borderId="19" xfId="0" applyNumberFormat="1" applyFont="1" applyBorder="1"/>
    <xf numFmtId="4" fontId="26" fillId="0" borderId="62" xfId="0" applyNumberFormat="1" applyFont="1" applyBorder="1"/>
    <xf numFmtId="0" fontId="6" fillId="0" borderId="17" xfId="0" applyFont="1" applyBorder="1" applyAlignment="1">
      <alignment vertical="center"/>
    </xf>
    <xf numFmtId="4" fontId="26" fillId="0" borderId="20" xfId="0" applyNumberFormat="1" applyFont="1" applyBorder="1"/>
    <xf numFmtId="0" fontId="6" fillId="0" borderId="69" xfId="0" applyFont="1" applyBorder="1" applyAlignment="1">
      <alignment vertical="center"/>
    </xf>
    <xf numFmtId="0" fontId="8" fillId="0" borderId="35" xfId="0" applyFont="1" applyBorder="1"/>
    <xf numFmtId="0" fontId="26" fillId="0" borderId="35" xfId="0" applyFont="1" applyBorder="1"/>
    <xf numFmtId="3" fontId="26" fillId="0" borderId="35" xfId="0" applyNumberFormat="1" applyFont="1" applyBorder="1"/>
    <xf numFmtId="3" fontId="7" fillId="5" borderId="66" xfId="4" applyNumberFormat="1" applyFont="1" applyFill="1" applyBorder="1"/>
    <xf numFmtId="3" fontId="26" fillId="5" borderId="66" xfId="4" applyNumberFormat="1" applyFont="1" applyFill="1" applyBorder="1" applyAlignment="1">
      <alignment horizontal="left"/>
    </xf>
    <xf numFmtId="4" fontId="26" fillId="5" borderId="67" xfId="0" applyNumberFormat="1" applyFont="1" applyFill="1" applyBorder="1" applyAlignment="1">
      <alignment horizontal="left"/>
    </xf>
    <xf numFmtId="0" fontId="6" fillId="2" borderId="47" xfId="0" applyFont="1" applyFill="1" applyBorder="1" applyAlignment="1">
      <alignment vertical="center"/>
    </xf>
    <xf numFmtId="0" fontId="37" fillId="2" borderId="35" xfId="0" applyFont="1" applyFill="1" applyBorder="1"/>
    <xf numFmtId="3" fontId="26" fillId="2" borderId="35" xfId="0" applyNumberFormat="1" applyFont="1" applyFill="1" applyBorder="1"/>
    <xf numFmtId="4" fontId="26" fillId="2" borderId="22" xfId="0" applyNumberFormat="1" applyFont="1" applyFill="1" applyBorder="1"/>
    <xf numFmtId="4" fontId="8" fillId="2" borderId="72" xfId="0" applyNumberFormat="1" applyFont="1" applyFill="1" applyBorder="1"/>
    <xf numFmtId="0" fontId="37" fillId="0" borderId="0" xfId="0" applyFont="1" applyBorder="1"/>
    <xf numFmtId="0" fontId="8" fillId="0" borderId="0" xfId="0" applyFont="1" applyBorder="1"/>
    <xf numFmtId="0" fontId="26" fillId="2" borderId="35" xfId="0" applyFont="1" applyFill="1" applyBorder="1" applyAlignment="1">
      <alignment horizontal="left" wrapText="1"/>
    </xf>
    <xf numFmtId="0" fontId="8" fillId="2" borderId="35" xfId="0" applyFont="1" applyFill="1" applyBorder="1" applyAlignment="1">
      <alignment horizontal="left"/>
    </xf>
    <xf numFmtId="0" fontId="6" fillId="2" borderId="35" xfId="0" applyFont="1" applyFill="1" applyBorder="1"/>
    <xf numFmtId="0" fontId="6" fillId="2" borderId="63" xfId="0" applyFont="1" applyFill="1" applyBorder="1" applyAlignment="1">
      <alignment vertical="center"/>
    </xf>
    <xf numFmtId="0" fontId="8" fillId="2" borderId="21" xfId="0" applyFont="1" applyFill="1" applyBorder="1" applyAlignment="1">
      <alignment horizontal="right"/>
    </xf>
    <xf numFmtId="0" fontId="6" fillId="2" borderId="21" xfId="0" applyFont="1" applyFill="1" applyBorder="1"/>
    <xf numFmtId="3" fontId="26" fillId="2" borderId="21" xfId="0" applyNumberFormat="1" applyFont="1" applyFill="1" applyBorder="1"/>
    <xf numFmtId="4" fontId="26" fillId="2" borderId="64" xfId="0" applyNumberFormat="1" applyFont="1" applyFill="1" applyBorder="1"/>
    <xf numFmtId="0" fontId="6" fillId="2" borderId="17" xfId="0" applyFont="1" applyFill="1" applyBorder="1"/>
    <xf numFmtId="0" fontId="8" fillId="2" borderId="35" xfId="0" applyFont="1" applyFill="1" applyBorder="1" applyAlignment="1">
      <alignment horizontal="right"/>
    </xf>
    <xf numFmtId="0" fontId="7" fillId="3" borderId="75" xfId="4" applyFont="1" applyFill="1" applyBorder="1" applyAlignment="1"/>
    <xf numFmtId="0" fontId="7" fillId="3" borderId="76" xfId="4" applyFont="1" applyFill="1" applyBorder="1" applyAlignment="1"/>
    <xf numFmtId="3" fontId="7" fillId="3" borderId="76" xfId="0" applyNumberFormat="1" applyFont="1" applyFill="1" applyBorder="1"/>
    <xf numFmtId="4" fontId="26" fillId="3" borderId="77" xfId="0" applyNumberFormat="1" applyFont="1" applyFill="1" applyBorder="1"/>
    <xf numFmtId="0" fontId="6" fillId="2" borderId="17" xfId="0" applyNumberFormat="1" applyFont="1" applyFill="1" applyBorder="1"/>
    <xf numFmtId="0" fontId="26" fillId="2" borderId="19" xfId="0" applyNumberFormat="1" applyFont="1" applyFill="1" applyBorder="1"/>
    <xf numFmtId="0" fontId="8" fillId="2" borderId="19" xfId="0" applyNumberFormat="1" applyFont="1" applyFill="1" applyBorder="1"/>
    <xf numFmtId="2" fontId="26" fillId="2" borderId="20" xfId="0" applyNumberFormat="1" applyFont="1" applyFill="1" applyBorder="1"/>
    <xf numFmtId="0" fontId="6" fillId="0" borderId="50" xfId="0" applyNumberFormat="1" applyFont="1" applyBorder="1"/>
    <xf numFmtId="0" fontId="6" fillId="0" borderId="68" xfId="0" applyNumberFormat="1" applyFont="1" applyBorder="1"/>
    <xf numFmtId="0" fontId="7" fillId="3" borderId="78" xfId="4" applyFont="1" applyFill="1" applyBorder="1" applyAlignment="1"/>
    <xf numFmtId="0" fontId="7" fillId="3" borderId="58" xfId="4" applyFont="1" applyFill="1" applyBorder="1" applyAlignment="1"/>
    <xf numFmtId="3" fontId="7" fillId="3" borderId="58" xfId="0" applyNumberFormat="1" applyFont="1" applyFill="1" applyBorder="1"/>
    <xf numFmtId="4" fontId="7" fillId="3" borderId="59" xfId="0" applyNumberFormat="1" applyFont="1" applyFill="1" applyBorder="1"/>
    <xf numFmtId="0" fontId="8" fillId="2" borderId="47" xfId="0" applyFont="1" applyFill="1" applyBorder="1" applyAlignment="1">
      <alignment horizontal="left" vertical="center"/>
    </xf>
    <xf numFmtId="0" fontId="6" fillId="2" borderId="60" xfId="0" applyFont="1" applyFill="1" applyBorder="1" applyAlignment="1">
      <alignment vertical="top"/>
    </xf>
    <xf numFmtId="0" fontId="7" fillId="0" borderId="0" xfId="0" applyFont="1"/>
    <xf numFmtId="0" fontId="7" fillId="3" borderId="76" xfId="4" applyFont="1" applyFill="1" applyBorder="1"/>
    <xf numFmtId="3" fontId="7" fillId="3" borderId="76" xfId="4" applyNumberFormat="1" applyFont="1" applyFill="1" applyBorder="1"/>
    <xf numFmtId="4" fontId="26" fillId="3" borderId="80" xfId="0" applyNumberFormat="1" applyFont="1" applyFill="1" applyBorder="1"/>
    <xf numFmtId="0" fontId="6" fillId="2" borderId="81" xfId="0" applyFont="1" applyFill="1" applyBorder="1"/>
    <xf numFmtId="0" fontId="26" fillId="2" borderId="19" xfId="0" applyFont="1" applyFill="1" applyBorder="1" applyAlignment="1">
      <alignment wrapText="1"/>
    </xf>
    <xf numFmtId="0" fontId="8" fillId="2" borderId="19" xfId="0" applyFont="1" applyFill="1" applyBorder="1"/>
    <xf numFmtId="0" fontId="26" fillId="2" borderId="19" xfId="0" applyFont="1" applyFill="1" applyBorder="1"/>
    <xf numFmtId="4" fontId="26" fillId="2" borderId="82" xfId="0" applyNumberFormat="1" applyFont="1" applyFill="1" applyBorder="1"/>
    <xf numFmtId="0" fontId="26" fillId="2" borderId="0" xfId="0" applyFont="1" applyFill="1"/>
    <xf numFmtId="0" fontId="7" fillId="3" borderId="84" xfId="0" applyFont="1" applyFill="1" applyBorder="1" applyAlignment="1">
      <alignment horizontal="left"/>
    </xf>
    <xf numFmtId="0" fontId="7" fillId="3" borderId="58" xfId="0" applyFont="1" applyFill="1" applyBorder="1" applyAlignment="1">
      <alignment horizontal="left"/>
    </xf>
    <xf numFmtId="4" fontId="7" fillId="3" borderId="85" xfId="0" applyNumberFormat="1" applyFont="1" applyFill="1" applyBorder="1"/>
    <xf numFmtId="3" fontId="6" fillId="0" borderId="0" xfId="0" applyNumberFormat="1" applyFont="1" applyBorder="1"/>
    <xf numFmtId="4" fontId="6" fillId="0" borderId="0" xfId="0" applyNumberFormat="1" applyFont="1" applyBorder="1"/>
    <xf numFmtId="3" fontId="6" fillId="0" borderId="0" xfId="0" applyNumberFormat="1" applyFont="1"/>
    <xf numFmtId="0" fontId="8" fillId="0" borderId="0" xfId="4" applyFont="1"/>
    <xf numFmtId="0" fontId="8" fillId="0" borderId="0" xfId="4" applyFont="1" applyAlignment="1">
      <alignment horizontal="center"/>
    </xf>
    <xf numFmtId="49" fontId="23" fillId="0" borderId="0" xfId="4" applyNumberFormat="1" applyFont="1" applyAlignment="1">
      <alignment horizontal="left"/>
    </xf>
    <xf numFmtId="49" fontId="4" fillId="0" borderId="0" xfId="4" applyNumberFormat="1" applyFont="1" applyAlignment="1">
      <alignment horizontal="center"/>
    </xf>
    <xf numFmtId="0" fontId="25" fillId="0" borderId="0" xfId="4" applyFont="1"/>
    <xf numFmtId="49" fontId="19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9" fontId="4" fillId="0" borderId="0" xfId="4" applyNumberFormat="1" applyFont="1" applyFill="1" applyAlignment="1">
      <alignment horizontal="right"/>
    </xf>
    <xf numFmtId="49" fontId="2" fillId="0" borderId="0" xfId="4" applyNumberFormat="1" applyFont="1" applyAlignment="1">
      <alignment horizontal="left"/>
    </xf>
    <xf numFmtId="0" fontId="19" fillId="0" borderId="0" xfId="0" applyFont="1" applyAlignment="1">
      <alignment horizontal="left"/>
    </xf>
    <xf numFmtId="0" fontId="4" fillId="0" borderId="0" xfId="4" applyFont="1" applyFill="1" applyAlignment="1">
      <alignment horizontal="right"/>
    </xf>
    <xf numFmtId="0" fontId="8" fillId="0" borderId="0" xfId="4" applyFont="1" applyFill="1" applyAlignment="1">
      <alignment horizontal="right"/>
    </xf>
    <xf numFmtId="0" fontId="4" fillId="3" borderId="86" xfId="4" applyFont="1" applyFill="1" applyBorder="1" applyAlignment="1">
      <alignment horizontal="center"/>
    </xf>
    <xf numFmtId="0" fontId="4" fillId="3" borderId="87" xfId="4" applyFont="1" applyFill="1" applyBorder="1" applyAlignment="1">
      <alignment horizontal="center"/>
    </xf>
    <xf numFmtId="0" fontId="7" fillId="3" borderId="88" xfId="4" applyFont="1" applyFill="1" applyBorder="1" applyAlignment="1">
      <alignment horizontal="center"/>
    </xf>
    <xf numFmtId="0" fontId="5" fillId="3" borderId="103" xfId="4" applyFont="1" applyFill="1" applyBorder="1" applyAlignment="1">
      <alignment horizontal="center"/>
    </xf>
    <xf numFmtId="0" fontId="8" fillId="3" borderId="104" xfId="4" applyFont="1" applyFill="1" applyBorder="1" applyAlignment="1">
      <alignment horizontal="center"/>
    </xf>
    <xf numFmtId="3" fontId="5" fillId="3" borderId="105" xfId="4" applyNumberFormat="1" applyFont="1" applyFill="1" applyBorder="1" applyAlignment="1">
      <alignment horizontal="center"/>
    </xf>
    <xf numFmtId="3" fontId="5" fillId="3" borderId="106" xfId="4" applyNumberFormat="1" applyFont="1" applyFill="1" applyBorder="1" applyAlignment="1">
      <alignment horizontal="center"/>
    </xf>
    <xf numFmtId="3" fontId="5" fillId="3" borderId="107" xfId="4" applyNumberFormat="1" applyFont="1" applyFill="1" applyBorder="1" applyAlignment="1">
      <alignment horizontal="center"/>
    </xf>
    <xf numFmtId="3" fontId="5" fillId="3" borderId="108" xfId="4" applyNumberFormat="1" applyFont="1" applyFill="1" applyBorder="1" applyAlignment="1">
      <alignment horizontal="center"/>
    </xf>
    <xf numFmtId="3" fontId="5" fillId="3" borderId="109" xfId="4" applyNumberFormat="1" applyFont="1" applyFill="1" applyBorder="1" applyAlignment="1">
      <alignment horizontal="center"/>
    </xf>
    <xf numFmtId="3" fontId="5" fillId="3" borderId="110" xfId="4" applyNumberFormat="1" applyFont="1" applyFill="1" applyBorder="1" applyAlignment="1">
      <alignment horizontal="center"/>
    </xf>
    <xf numFmtId="0" fontId="8" fillId="0" borderId="0" xfId="4" applyFont="1" applyBorder="1"/>
    <xf numFmtId="49" fontId="7" fillId="3" borderId="111" xfId="4" applyNumberFormat="1" applyFont="1" applyFill="1" applyBorder="1" applyAlignment="1">
      <alignment vertical="center"/>
    </xf>
    <xf numFmtId="49" fontId="4" fillId="3" borderId="112" xfId="4" applyNumberFormat="1" applyFont="1" applyFill="1" applyBorder="1" applyAlignment="1">
      <alignment horizontal="center" vertical="center"/>
    </xf>
    <xf numFmtId="3" fontId="7" fillId="3" borderId="89" xfId="4" applyNumberFormat="1" applyFont="1" applyFill="1" applyBorder="1" applyAlignment="1">
      <alignment vertical="center"/>
    </xf>
    <xf numFmtId="3" fontId="7" fillId="3" borderId="66" xfId="4" applyNumberFormat="1" applyFont="1" applyFill="1" applyBorder="1" applyAlignment="1">
      <alignment vertical="center"/>
    </xf>
    <xf numFmtId="3" fontId="7" fillId="3" borderId="90" xfId="4" applyNumberFormat="1" applyFont="1" applyFill="1" applyBorder="1" applyAlignment="1">
      <alignment vertical="center"/>
    </xf>
    <xf numFmtId="3" fontId="7" fillId="3" borderId="88" xfId="4" applyNumberFormat="1" applyFont="1" applyFill="1" applyBorder="1" applyAlignment="1">
      <alignment vertical="center"/>
    </xf>
    <xf numFmtId="3" fontId="7" fillId="3" borderId="113" xfId="4" applyNumberFormat="1" applyFont="1" applyFill="1" applyBorder="1" applyAlignment="1">
      <alignment vertical="center"/>
    </xf>
    <xf numFmtId="10" fontId="7" fillId="3" borderId="90" xfId="4" applyNumberFormat="1" applyFont="1" applyFill="1" applyBorder="1" applyAlignment="1">
      <alignment vertical="center"/>
    </xf>
    <xf numFmtId="3" fontId="6" fillId="0" borderId="0" xfId="4" applyNumberFormat="1" applyFont="1" applyFill="1" applyBorder="1"/>
    <xf numFmtId="49" fontId="6" fillId="0" borderId="91" xfId="4" applyNumberFormat="1" applyFont="1" applyBorder="1"/>
    <xf numFmtId="49" fontId="4" fillId="0" borderId="92" xfId="4" applyNumberFormat="1" applyFont="1" applyBorder="1" applyAlignment="1">
      <alignment horizontal="center"/>
    </xf>
    <xf numFmtId="3" fontId="6" fillId="0" borderId="94" xfId="4" applyNumberFormat="1" applyFont="1" applyBorder="1"/>
    <xf numFmtId="3" fontId="6" fillId="0" borderId="35" xfId="4" applyNumberFormat="1" applyFont="1" applyBorder="1"/>
    <xf numFmtId="3" fontId="6" fillId="0" borderId="114" xfId="4" applyNumberFormat="1" applyFont="1" applyBorder="1"/>
    <xf numFmtId="3" fontId="6" fillId="0" borderId="96" xfId="4" applyNumberFormat="1" applyFont="1" applyBorder="1"/>
    <xf numFmtId="3" fontId="6" fillId="0" borderId="83" xfId="4" applyNumberFormat="1" applyFont="1" applyBorder="1"/>
    <xf numFmtId="10" fontId="6" fillId="0" borderId="114" xfId="4" applyNumberFormat="1" applyFont="1" applyBorder="1"/>
    <xf numFmtId="49" fontId="6" fillId="0" borderId="91" xfId="4" applyNumberFormat="1" applyFont="1" applyBorder="1" applyAlignment="1">
      <alignment wrapText="1"/>
    </xf>
    <xf numFmtId="49" fontId="4" fillId="0" borderId="92" xfId="4" applyNumberFormat="1" applyFont="1" applyBorder="1" applyAlignment="1">
      <alignment horizontal="center" wrapText="1"/>
    </xf>
    <xf numFmtId="0" fontId="6" fillId="0" borderId="0" xfId="4" applyFont="1" applyBorder="1"/>
    <xf numFmtId="0" fontId="6" fillId="0" borderId="0" xfId="4" applyFont="1"/>
    <xf numFmtId="49" fontId="7" fillId="0" borderId="91" xfId="4" applyNumberFormat="1" applyFont="1" applyBorder="1"/>
    <xf numFmtId="3" fontId="7" fillId="0" borderId="94" xfId="4" applyNumberFormat="1" applyFont="1" applyBorder="1"/>
    <xf numFmtId="3" fontId="7" fillId="0" borderId="114" xfId="4" applyNumberFormat="1" applyFont="1" applyBorder="1"/>
    <xf numFmtId="3" fontId="7" fillId="0" borderId="96" xfId="4" applyNumberFormat="1" applyFont="1" applyBorder="1"/>
    <xf numFmtId="3" fontId="7" fillId="0" borderId="83" xfId="4" applyNumberFormat="1" applyFont="1" applyBorder="1"/>
    <xf numFmtId="10" fontId="7" fillId="0" borderId="114" xfId="4" applyNumberFormat="1" applyFont="1" applyBorder="1"/>
    <xf numFmtId="49" fontId="4" fillId="0" borderId="92" xfId="4" applyNumberFormat="1" applyFont="1" applyBorder="1" applyAlignment="1">
      <alignment horizontal="center" vertical="center" wrapText="1"/>
    </xf>
    <xf numFmtId="3" fontId="6" fillId="0" borderId="94" xfId="4" applyNumberFormat="1" applyFont="1" applyBorder="1" applyAlignment="1">
      <alignment vertical="center"/>
    </xf>
    <xf numFmtId="3" fontId="6" fillId="0" borderId="35" xfId="4" applyNumberFormat="1" applyFont="1" applyBorder="1" applyAlignment="1">
      <alignment vertical="center"/>
    </xf>
    <xf numFmtId="3" fontId="6" fillId="0" borderId="114" xfId="4" applyNumberFormat="1" applyFont="1" applyBorder="1" applyAlignment="1">
      <alignment vertical="center"/>
    </xf>
    <xf numFmtId="3" fontId="6" fillId="0" borderId="96" xfId="4" applyNumberFormat="1" applyFont="1" applyBorder="1" applyAlignment="1">
      <alignment vertical="center"/>
    </xf>
    <xf numFmtId="3" fontId="6" fillId="0" borderId="83" xfId="4" applyNumberFormat="1" applyFont="1" applyBorder="1" applyAlignment="1">
      <alignment vertical="center"/>
    </xf>
    <xf numFmtId="10" fontId="6" fillId="0" borderId="114" xfId="4" applyNumberFormat="1" applyFont="1" applyBorder="1" applyAlignment="1">
      <alignment vertical="center"/>
    </xf>
    <xf numFmtId="49" fontId="4" fillId="0" borderId="92" xfId="4" applyNumberFormat="1" applyFont="1" applyBorder="1" applyAlignment="1">
      <alignment horizontal="center" shrinkToFit="1"/>
    </xf>
    <xf numFmtId="49" fontId="8" fillId="0" borderId="91" xfId="4" applyNumberFormat="1" applyFont="1" applyBorder="1"/>
    <xf numFmtId="49" fontId="7" fillId="3" borderId="115" xfId="4" applyNumberFormat="1" applyFont="1" applyFill="1" applyBorder="1" applyAlignment="1">
      <alignment vertical="center"/>
    </xf>
    <xf numFmtId="49" fontId="4" fillId="3" borderId="116" xfId="4" applyNumberFormat="1" applyFont="1" applyFill="1" applyBorder="1" applyAlignment="1">
      <alignment horizontal="center" vertical="center"/>
    </xf>
    <xf numFmtId="3" fontId="7" fillId="3" borderId="84" xfId="4" applyNumberFormat="1" applyFont="1" applyFill="1" applyBorder="1" applyAlignment="1">
      <alignment vertical="center"/>
    </xf>
    <xf numFmtId="0" fontId="19" fillId="0" borderId="0" xfId="4" applyFont="1" applyBorder="1"/>
    <xf numFmtId="49" fontId="2" fillId="3" borderId="117" xfId="4" applyNumberFormat="1" applyFont="1" applyFill="1" applyBorder="1" applyAlignment="1">
      <alignment vertical="center"/>
    </xf>
    <xf numFmtId="3" fontId="2" fillId="3" borderId="119" xfId="4" applyNumberFormat="1" applyFont="1" applyFill="1" applyBorder="1" applyAlignment="1">
      <alignment vertical="center"/>
    </xf>
    <xf numFmtId="3" fontId="7" fillId="3" borderId="120" xfId="4" applyNumberFormat="1" applyFont="1" applyFill="1" applyBorder="1" applyAlignment="1">
      <alignment vertical="center"/>
    </xf>
    <xf numFmtId="10" fontId="7" fillId="3" borderId="121" xfId="4" applyNumberFormat="1" applyFont="1" applyFill="1" applyBorder="1" applyAlignment="1">
      <alignment vertical="center"/>
    </xf>
    <xf numFmtId="3" fontId="2" fillId="0" borderId="0" xfId="4" applyNumberFormat="1" applyFont="1" applyFill="1" applyBorder="1"/>
    <xf numFmtId="0" fontId="19" fillId="0" borderId="0" xfId="4" applyFont="1"/>
    <xf numFmtId="0" fontId="39" fillId="0" borderId="0" xfId="4" applyFont="1"/>
    <xf numFmtId="0" fontId="4" fillId="0" borderId="0" xfId="4" applyFont="1" applyAlignment="1">
      <alignment horizontal="center"/>
    </xf>
    <xf numFmtId="0" fontId="7" fillId="0" borderId="0" xfId="4" applyFont="1"/>
    <xf numFmtId="3" fontId="7" fillId="3" borderId="73" xfId="4" applyNumberFormat="1" applyFont="1" applyFill="1" applyBorder="1" applyAlignment="1">
      <alignment vertical="center"/>
    </xf>
    <xf numFmtId="3" fontId="7" fillId="3" borderId="49" xfId="4" applyNumberFormat="1" applyFont="1" applyFill="1" applyBorder="1" applyAlignment="1">
      <alignment vertical="center"/>
    </xf>
    <xf numFmtId="3" fontId="7" fillId="3" borderId="126" xfId="4" applyNumberFormat="1" applyFont="1" applyFill="1" applyBorder="1" applyAlignment="1">
      <alignment vertical="center"/>
    </xf>
    <xf numFmtId="3" fontId="7" fillId="3" borderId="55" xfId="4" applyNumberFormat="1" applyFont="1" applyFill="1" applyBorder="1" applyAlignment="1">
      <alignment vertical="center"/>
    </xf>
    <xf numFmtId="10" fontId="7" fillId="3" borderId="72" xfId="4" applyNumberFormat="1" applyFont="1" applyFill="1" applyBorder="1" applyAlignment="1">
      <alignment vertical="center"/>
    </xf>
    <xf numFmtId="0" fontId="7" fillId="0" borderId="0" xfId="4" applyFont="1" applyFill="1"/>
    <xf numFmtId="3" fontId="6" fillId="0" borderId="27" xfId="4" applyNumberFormat="1" applyFont="1" applyBorder="1"/>
    <xf numFmtId="3" fontId="6" fillId="0" borderId="0" xfId="4" applyNumberFormat="1" applyFont="1" applyBorder="1"/>
    <xf numFmtId="49" fontId="4" fillId="0" borderId="125" xfId="4" applyNumberFormat="1" applyFont="1" applyBorder="1" applyAlignment="1">
      <alignment horizontal="center" wrapText="1"/>
    </xf>
    <xf numFmtId="3" fontId="7" fillId="3" borderId="71" xfId="4" applyNumberFormat="1" applyFont="1" applyFill="1" applyBorder="1" applyAlignment="1">
      <alignment vertical="center"/>
    </xf>
    <xf numFmtId="3" fontId="6" fillId="0" borderId="105" xfId="4" applyNumberFormat="1" applyFont="1" applyBorder="1"/>
    <xf numFmtId="3" fontId="7" fillId="3" borderId="127" xfId="4" applyNumberFormat="1" applyFont="1" applyFill="1" applyBorder="1" applyAlignment="1">
      <alignment vertical="center"/>
    </xf>
    <xf numFmtId="3" fontId="7" fillId="3" borderId="57" xfId="4" applyNumberFormat="1" applyFont="1" applyFill="1" applyBorder="1" applyAlignment="1">
      <alignment vertical="center"/>
    </xf>
    <xf numFmtId="3" fontId="7" fillId="3" borderId="58" xfId="4" applyNumberFormat="1" applyFont="1" applyFill="1" applyBorder="1" applyAlignment="1">
      <alignment vertical="center"/>
    </xf>
    <xf numFmtId="3" fontId="7" fillId="3" borderId="128" xfId="4" applyNumberFormat="1" applyFont="1" applyFill="1" applyBorder="1" applyAlignment="1">
      <alignment vertical="center"/>
    </xf>
    <xf numFmtId="10" fontId="7" fillId="3" borderId="129" xfId="4" applyNumberFormat="1" applyFont="1" applyFill="1" applyBorder="1" applyAlignment="1">
      <alignment vertical="center"/>
    </xf>
    <xf numFmtId="49" fontId="4" fillId="0" borderId="125" xfId="4" applyNumberFormat="1" applyFont="1" applyBorder="1" applyAlignment="1">
      <alignment horizontal="center" vertical="center" wrapText="1"/>
    </xf>
    <xf numFmtId="3" fontId="6" fillId="0" borderId="27" xfId="4" applyNumberFormat="1" applyFont="1" applyBorder="1" applyAlignment="1">
      <alignment vertical="center"/>
    </xf>
    <xf numFmtId="3" fontId="6" fillId="0" borderId="0" xfId="4" applyNumberFormat="1" applyFont="1" applyBorder="1" applyAlignment="1">
      <alignment vertical="center"/>
    </xf>
    <xf numFmtId="49" fontId="4" fillId="0" borderId="125" xfId="4" applyNumberFormat="1" applyFont="1" applyBorder="1" applyAlignment="1">
      <alignment horizontal="center" shrinkToFit="1"/>
    </xf>
    <xf numFmtId="49" fontId="4" fillId="3" borderId="122" xfId="4" applyNumberFormat="1" applyFont="1" applyFill="1" applyBorder="1" applyAlignment="1">
      <alignment horizontal="center" vertical="center"/>
    </xf>
    <xf numFmtId="3" fontId="2" fillId="3" borderId="130" xfId="4" applyNumberFormat="1" applyFont="1" applyFill="1" applyBorder="1" applyAlignment="1">
      <alignment vertical="center"/>
    </xf>
    <xf numFmtId="3" fontId="2" fillId="3" borderId="124" xfId="4" applyNumberFormat="1" applyFont="1" applyFill="1" applyBorder="1" applyAlignment="1">
      <alignment vertical="center"/>
    </xf>
    <xf numFmtId="10" fontId="2" fillId="3" borderId="121" xfId="4" applyNumberFormat="1" applyFont="1" applyFill="1" applyBorder="1" applyAlignment="1">
      <alignment vertical="center"/>
    </xf>
    <xf numFmtId="0" fontId="2" fillId="0" borderId="0" xfId="4" applyFont="1"/>
    <xf numFmtId="3" fontId="7" fillId="3" borderId="7" xfId="4" applyNumberFormat="1" applyFont="1" applyFill="1" applyBorder="1" applyAlignment="1">
      <alignment horizontal="left" vertical="center" wrapText="1"/>
    </xf>
    <xf numFmtId="0" fontId="7" fillId="3" borderId="7" xfId="4" applyFont="1" applyFill="1" applyBorder="1" applyAlignment="1">
      <alignment horizontal="left" vertical="center"/>
    </xf>
    <xf numFmtId="4" fontId="7" fillId="3" borderId="48" xfId="4" applyNumberFormat="1" applyFont="1" applyFill="1" applyBorder="1" applyAlignment="1">
      <alignment horizontal="right" vertical="center"/>
    </xf>
    <xf numFmtId="3" fontId="7" fillId="3" borderId="6" xfId="4" applyNumberFormat="1" applyFont="1" applyFill="1" applyBorder="1" applyAlignment="1">
      <alignment horizontal="right" vertical="center" wrapText="1"/>
    </xf>
    <xf numFmtId="3" fontId="7" fillId="3" borderId="7" xfId="4" applyNumberFormat="1" applyFont="1" applyFill="1" applyBorder="1" applyAlignment="1">
      <alignment vertical="center" wrapText="1"/>
    </xf>
    <xf numFmtId="0" fontId="7" fillId="3" borderId="7" xfId="4" applyFont="1" applyFill="1" applyBorder="1" applyAlignment="1">
      <alignment vertical="center"/>
    </xf>
    <xf numFmtId="0" fontId="7" fillId="3" borderId="53" xfId="4" applyFont="1" applyFill="1" applyBorder="1" applyAlignment="1">
      <alignment horizontal="left" vertical="center"/>
    </xf>
    <xf numFmtId="3" fontId="6" fillId="0" borderId="51" xfId="4" applyNumberFormat="1" applyFont="1" applyBorder="1" applyAlignment="1">
      <alignment horizontal="left" vertical="center" wrapText="1"/>
    </xf>
    <xf numFmtId="0" fontId="6" fillId="0" borderId="45" xfId="4" applyFont="1" applyBorder="1" applyAlignment="1">
      <alignment horizontal="center" vertical="center"/>
    </xf>
    <xf numFmtId="0" fontId="6" fillId="0" borderId="131" xfId="4" applyFont="1" applyBorder="1" applyAlignment="1">
      <alignment horizontal="center" vertical="center"/>
    </xf>
    <xf numFmtId="0" fontId="7" fillId="3" borderId="7" xfId="4" applyFont="1" applyFill="1" applyBorder="1" applyAlignment="1">
      <alignment horizontal="right" vertical="center"/>
    </xf>
    <xf numFmtId="3" fontId="7" fillId="3" borderId="7" xfId="4" applyNumberFormat="1" applyFont="1" applyFill="1" applyBorder="1" applyAlignment="1">
      <alignment horizontal="right" vertical="center" wrapText="1"/>
    </xf>
    <xf numFmtId="0" fontId="4" fillId="2" borderId="0" xfId="4" applyFont="1" applyFill="1"/>
    <xf numFmtId="4" fontId="6" fillId="2" borderId="0" xfId="4" applyNumberFormat="1" applyFont="1" applyFill="1" applyBorder="1" applyAlignment="1"/>
    <xf numFmtId="4" fontId="6" fillId="2" borderId="49" xfId="4" applyNumberFormat="1" applyFont="1" applyFill="1" applyBorder="1" applyAlignment="1"/>
    <xf numFmtId="0" fontId="7" fillId="3" borderId="42" xfId="4" applyFont="1" applyFill="1" applyBorder="1"/>
    <xf numFmtId="3" fontId="7" fillId="3" borderId="42" xfId="4" applyNumberFormat="1" applyFont="1" applyFill="1" applyBorder="1"/>
    <xf numFmtId="4" fontId="7" fillId="3" borderId="136" xfId="4" applyNumberFormat="1" applyFont="1" applyFill="1" applyBorder="1" applyAlignment="1"/>
    <xf numFmtId="0" fontId="25" fillId="0" borderId="0" xfId="0" applyFont="1"/>
    <xf numFmtId="0" fontId="39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3" fontId="8" fillId="2" borderId="0" xfId="0" applyNumberFormat="1" applyFont="1" applyFill="1"/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3" fontId="5" fillId="3" borderId="3" xfId="0" applyNumberFormat="1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6" fillId="2" borderId="45" xfId="0" applyFont="1" applyFill="1" applyBorder="1" applyAlignment="1">
      <alignment horizontal="center"/>
    </xf>
    <xf numFmtId="0" fontId="6" fillId="2" borderId="45" xfId="0" applyFont="1" applyFill="1" applyBorder="1" applyAlignment="1">
      <alignment wrapText="1"/>
    </xf>
    <xf numFmtId="3" fontId="6" fillId="2" borderId="45" xfId="0" applyNumberFormat="1" applyFont="1" applyFill="1" applyBorder="1"/>
    <xf numFmtId="4" fontId="6" fillId="2" borderId="46" xfId="0" applyNumberFormat="1" applyFont="1" applyFill="1" applyBorder="1"/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6" xfId="0" applyFont="1" applyFill="1" applyBorder="1" applyAlignment="1">
      <alignment wrapText="1"/>
    </xf>
    <xf numFmtId="3" fontId="6" fillId="2" borderId="6" xfId="0" applyNumberFormat="1" applyFont="1" applyFill="1" applyBorder="1"/>
    <xf numFmtId="0" fontId="3" fillId="0" borderId="0" xfId="0" applyFont="1"/>
    <xf numFmtId="3" fontId="7" fillId="3" borderId="3" xfId="0" applyNumberFormat="1" applyFont="1" applyFill="1" applyBorder="1"/>
    <xf numFmtId="4" fontId="7" fillId="3" borderId="4" xfId="0" applyNumberFormat="1" applyFont="1" applyFill="1" applyBorder="1"/>
    <xf numFmtId="0" fontId="11" fillId="2" borderId="0" xfId="0" applyFont="1" applyFill="1" applyAlignment="1">
      <alignment horizontal="left"/>
    </xf>
    <xf numFmtId="172" fontId="6" fillId="2" borderId="0" xfId="0" applyNumberFormat="1" applyFont="1" applyFill="1"/>
    <xf numFmtId="0" fontId="25" fillId="2" borderId="0" xfId="0" applyFont="1" applyFill="1"/>
    <xf numFmtId="1" fontId="6" fillId="2" borderId="0" xfId="3" applyNumberFormat="1" applyFont="1" applyFill="1" applyBorder="1" applyAlignment="1">
      <alignment horizontal="left"/>
    </xf>
    <xf numFmtId="0" fontId="6" fillId="0" borderId="0" xfId="0" applyFont="1" applyAlignment="1">
      <alignment horizontal="center"/>
    </xf>
    <xf numFmtId="0" fontId="6" fillId="2" borderId="47" xfId="0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2" borderId="35" xfId="0" applyFont="1" applyFill="1" applyBorder="1" applyAlignment="1">
      <alignment wrapText="1"/>
    </xf>
    <xf numFmtId="3" fontId="6" fillId="2" borderId="35" xfId="0" applyNumberFormat="1" applyFont="1" applyFill="1" applyBorder="1"/>
    <xf numFmtId="4" fontId="6" fillId="2" borderId="22" xfId="0" applyNumberFormat="1" applyFont="1" applyFill="1" applyBorder="1"/>
    <xf numFmtId="0" fontId="10" fillId="2" borderId="0" xfId="0" applyFont="1" applyFill="1" applyAlignment="1">
      <alignment horizontal="center"/>
    </xf>
    <xf numFmtId="0" fontId="10" fillId="2" borderId="0" xfId="0" applyFont="1" applyFill="1"/>
    <xf numFmtId="0" fontId="7" fillId="2" borderId="0" xfId="0" applyFont="1" applyFill="1" applyAlignment="1">
      <alignment horizontal="left"/>
    </xf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/>
    <xf numFmtId="3" fontId="6" fillId="2" borderId="0" xfId="0" applyNumberFormat="1" applyFont="1" applyFill="1" applyBorder="1"/>
    <xf numFmtId="172" fontId="6" fillId="2" borderId="0" xfId="0" applyNumberFormat="1" applyFont="1" applyFill="1" applyBorder="1" applyAlignment="1"/>
    <xf numFmtId="172" fontId="14" fillId="2" borderId="0" xfId="0" applyNumberFormat="1" applyFont="1" applyFill="1" applyBorder="1" applyAlignment="1"/>
    <xf numFmtId="164" fontId="15" fillId="0" borderId="0" xfId="0" applyNumberFormat="1" applyFont="1" applyFill="1"/>
    <xf numFmtId="164" fontId="13" fillId="2" borderId="10" xfId="0" applyNumberFormat="1" applyFont="1" applyFill="1" applyBorder="1" applyAlignment="1">
      <alignment horizontal="left"/>
    </xf>
    <xf numFmtId="164" fontId="13" fillId="2" borderId="15" xfId="0" applyNumberFormat="1" applyFont="1" applyFill="1" applyBorder="1" applyAlignment="1">
      <alignment horizontal="right"/>
    </xf>
    <xf numFmtId="164" fontId="13" fillId="2" borderId="15" xfId="0" applyNumberFormat="1" applyFont="1" applyFill="1" applyBorder="1" applyAlignment="1">
      <alignment horizontal="left"/>
    </xf>
    <xf numFmtId="164" fontId="13" fillId="0" borderId="35" xfId="0" applyNumberFormat="1" applyFont="1" applyFill="1" applyBorder="1" applyAlignment="1">
      <alignment horizontal="left"/>
    </xf>
    <xf numFmtId="164" fontId="13" fillId="2" borderId="10" xfId="0" applyNumberFormat="1" applyFont="1" applyFill="1" applyBorder="1" applyAlignment="1">
      <alignment horizontal="right"/>
    </xf>
    <xf numFmtId="164" fontId="16" fillId="3" borderId="42" xfId="0" applyNumberFormat="1" applyFont="1" applyFill="1" applyBorder="1"/>
    <xf numFmtId="164" fontId="17" fillId="3" borderId="42" xfId="0" applyNumberFormat="1" applyFont="1" applyFill="1" applyBorder="1"/>
    <xf numFmtId="164" fontId="17" fillId="0" borderId="0" xfId="0" applyNumberFormat="1" applyFont="1" applyFill="1" applyBorder="1"/>
    <xf numFmtId="164" fontId="15" fillId="0" borderId="0" xfId="0" applyNumberFormat="1" applyFont="1" applyFill="1" applyBorder="1"/>
    <xf numFmtId="0" fontId="11" fillId="2" borderId="0" xfId="0" applyFont="1" applyFill="1" applyAlignment="1">
      <alignment horizontal="left" vertical="center" wrapText="1"/>
    </xf>
    <xf numFmtId="0" fontId="6" fillId="2" borderId="7" xfId="0" applyFont="1" applyFill="1" applyBorder="1" applyAlignment="1">
      <alignment horizontal="right"/>
    </xf>
    <xf numFmtId="0" fontId="6" fillId="2" borderId="0" xfId="0" applyFont="1" applyFill="1" applyAlignment="1">
      <alignment horizontal="right"/>
    </xf>
    <xf numFmtId="49" fontId="6" fillId="2" borderId="0" xfId="0" applyNumberFormat="1" applyFont="1" applyFill="1" applyAlignment="1">
      <alignment horizontal="right"/>
    </xf>
    <xf numFmtId="0" fontId="6" fillId="2" borderId="0" xfId="0" applyFont="1" applyFill="1" applyBorder="1" applyAlignment="1">
      <alignment horizontal="right"/>
    </xf>
    <xf numFmtId="49" fontId="6" fillId="2" borderId="0" xfId="0" applyNumberFormat="1" applyFont="1" applyFill="1" applyBorder="1" applyAlignment="1">
      <alignment horizontal="right"/>
    </xf>
    <xf numFmtId="0" fontId="46" fillId="0" borderId="0" xfId="0" applyFont="1" applyFill="1" applyAlignment="1">
      <alignment horizontal="center"/>
    </xf>
    <xf numFmtId="3" fontId="46" fillId="0" borderId="0" xfId="0" applyNumberFormat="1" applyFont="1" applyFill="1" applyAlignment="1">
      <alignment horizontal="center"/>
    </xf>
    <xf numFmtId="0" fontId="29" fillId="0" borderId="0" xfId="0" applyFont="1" applyFill="1"/>
    <xf numFmtId="0" fontId="10" fillId="0" borderId="38" xfId="0" applyFont="1" applyFill="1" applyBorder="1" applyAlignment="1">
      <alignment horizontal="center"/>
    </xf>
    <xf numFmtId="0" fontId="15" fillId="0" borderId="40" xfId="0" applyFont="1" applyFill="1" applyBorder="1" applyAlignment="1">
      <alignment horizontal="center"/>
    </xf>
    <xf numFmtId="3" fontId="17" fillId="3" borderId="0" xfId="0" applyNumberFormat="1" applyFont="1" applyFill="1"/>
    <xf numFmtId="0" fontId="17" fillId="3" borderId="0" xfId="0" applyFont="1" applyFill="1"/>
    <xf numFmtId="164" fontId="6" fillId="2" borderId="26" xfId="0" applyNumberFormat="1" applyFont="1" applyFill="1" applyBorder="1"/>
    <xf numFmtId="0" fontId="13" fillId="0" borderId="9" xfId="0" applyFont="1" applyFill="1" applyBorder="1"/>
    <xf numFmtId="3" fontId="13" fillId="2" borderId="10" xfId="0" applyNumberFormat="1" applyFont="1" applyFill="1" applyBorder="1"/>
    <xf numFmtId="0" fontId="13" fillId="0" borderId="9" xfId="0" applyFont="1" applyFill="1" applyBorder="1" applyAlignment="1">
      <alignment wrapText="1"/>
    </xf>
    <xf numFmtId="164" fontId="13" fillId="0" borderId="30" xfId="0" applyNumberFormat="1" applyFont="1" applyFill="1" applyBorder="1"/>
    <xf numFmtId="3" fontId="47" fillId="2" borderId="0" xfId="0" applyNumberFormat="1" applyFont="1" applyFill="1"/>
    <xf numFmtId="164" fontId="14" fillId="0" borderId="0" xfId="0" applyNumberFormat="1" applyFont="1" applyFill="1"/>
    <xf numFmtId="164" fontId="4" fillId="3" borderId="3" xfId="0" applyNumberFormat="1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wrapText="1"/>
    </xf>
    <xf numFmtId="0" fontId="4" fillId="3" borderId="29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/>
    </xf>
    <xf numFmtId="164" fontId="6" fillId="2" borderId="15" xfId="0" applyNumberFormat="1" applyFont="1" applyFill="1" applyBorder="1" applyAlignment="1">
      <alignment horizontal="right"/>
    </xf>
    <xf numFmtId="164" fontId="6" fillId="2" borderId="15" xfId="0" applyNumberFormat="1" applyFont="1" applyFill="1" applyBorder="1" applyAlignment="1">
      <alignment vertical="center"/>
    </xf>
    <xf numFmtId="3" fontId="9" fillId="3" borderId="4" xfId="0" applyNumberFormat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vertical="center"/>
    </xf>
    <xf numFmtId="164" fontId="6" fillId="0" borderId="10" xfId="0" applyNumberFormat="1" applyFont="1" applyFill="1" applyBorder="1" applyAlignment="1"/>
    <xf numFmtId="164" fontId="2" fillId="0" borderId="19" xfId="0" applyNumberFormat="1" applyFont="1" applyFill="1" applyBorder="1" applyAlignment="1"/>
    <xf numFmtId="164" fontId="6" fillId="0" borderId="19" xfId="0" applyNumberFormat="1" applyFont="1" applyFill="1" applyBorder="1" applyAlignment="1"/>
    <xf numFmtId="164" fontId="2" fillId="3" borderId="6" xfId="0" applyNumberFormat="1" applyFont="1" applyFill="1" applyBorder="1" applyAlignment="1"/>
    <xf numFmtId="164" fontId="41" fillId="2" borderId="41" xfId="0" applyNumberFormat="1" applyFont="1" applyFill="1" applyBorder="1"/>
    <xf numFmtId="0" fontId="41" fillId="0" borderId="34" xfId="0" applyFont="1" applyFill="1" applyBorder="1" applyAlignment="1">
      <alignment horizontal="center"/>
    </xf>
    <xf numFmtId="0" fontId="41" fillId="0" borderId="26" xfId="0" applyFont="1" applyFill="1" applyBorder="1" applyAlignment="1">
      <alignment wrapText="1"/>
    </xf>
    <xf numFmtId="3" fontId="41" fillId="0" borderId="26" xfId="0" applyNumberFormat="1" applyFont="1" applyFill="1" applyBorder="1"/>
    <xf numFmtId="164" fontId="41" fillId="2" borderId="12" xfId="0" applyNumberFormat="1" applyFont="1" applyFill="1" applyBorder="1"/>
    <xf numFmtId="165" fontId="41" fillId="0" borderId="43" xfId="0" applyNumberFormat="1" applyFont="1" applyFill="1" applyBorder="1"/>
    <xf numFmtId="168" fontId="41" fillId="0" borderId="0" xfId="0" applyNumberFormat="1" applyFont="1" applyFill="1"/>
    <xf numFmtId="0" fontId="41" fillId="0" borderId="14" xfId="0" applyFont="1" applyFill="1" applyBorder="1" applyAlignment="1">
      <alignment horizontal="center"/>
    </xf>
    <xf numFmtId="0" fontId="41" fillId="0" borderId="15" xfId="0" applyFont="1" applyFill="1" applyBorder="1" applyAlignment="1">
      <alignment wrapText="1"/>
    </xf>
    <xf numFmtId="3" fontId="41" fillId="0" borderId="15" xfId="0" applyNumberFormat="1" applyFont="1" applyFill="1" applyBorder="1"/>
    <xf numFmtId="164" fontId="41" fillId="2" borderId="13" xfId="0" applyNumberFormat="1" applyFont="1" applyFill="1" applyBorder="1"/>
    <xf numFmtId="0" fontId="41" fillId="0" borderId="134" xfId="0" applyFont="1" applyFill="1" applyBorder="1" applyAlignment="1">
      <alignment horizontal="center"/>
    </xf>
    <xf numFmtId="0" fontId="41" fillId="0" borderId="36" xfId="0" applyFont="1" applyFill="1" applyBorder="1" applyAlignment="1">
      <alignment wrapText="1"/>
    </xf>
    <xf numFmtId="3" fontId="41" fillId="0" borderId="36" xfId="0" applyNumberFormat="1" applyFont="1" applyFill="1" applyBorder="1"/>
    <xf numFmtId="165" fontId="41" fillId="0" borderId="135" xfId="0" applyNumberFormat="1" applyFont="1" applyFill="1" applyBorder="1"/>
    <xf numFmtId="0" fontId="48" fillId="3" borderId="23" xfId="0" applyFont="1" applyFill="1" applyBorder="1" applyAlignment="1">
      <alignment horizontal="center"/>
    </xf>
    <xf numFmtId="0" fontId="48" fillId="3" borderId="28" xfId="0" applyFont="1" applyFill="1" applyBorder="1"/>
    <xf numFmtId="3" fontId="48" fillId="3" borderId="28" xfId="0" applyNumberFormat="1" applyFont="1" applyFill="1" applyBorder="1"/>
    <xf numFmtId="164" fontId="48" fillId="3" borderId="28" xfId="0" applyNumberFormat="1" applyFont="1" applyFill="1" applyBorder="1"/>
    <xf numFmtId="165" fontId="48" fillId="3" borderId="25" xfId="0" applyNumberFormat="1" applyFont="1" applyFill="1" applyBorder="1"/>
    <xf numFmtId="168" fontId="48" fillId="3" borderId="0" xfId="0" applyNumberFormat="1" applyFont="1" applyFill="1"/>
    <xf numFmtId="164" fontId="13" fillId="2" borderId="15" xfId="0" applyNumberFormat="1" applyFont="1" applyFill="1" applyBorder="1" applyAlignment="1">
      <alignment horizontal="left" vertical="center"/>
    </xf>
    <xf numFmtId="164" fontId="6" fillId="0" borderId="30" xfId="0" applyNumberFormat="1" applyFont="1" applyFill="1" applyBorder="1" applyAlignment="1">
      <alignment horizontal="right"/>
    </xf>
    <xf numFmtId="164" fontId="13" fillId="2" borderId="36" xfId="0" applyNumberFormat="1" applyFont="1" applyFill="1" applyBorder="1" applyAlignment="1">
      <alignment horizontal="left" vertical="center"/>
    </xf>
    <xf numFmtId="164" fontId="2" fillId="2" borderId="19" xfId="0" applyNumberFormat="1" applyFont="1" applyFill="1" applyBorder="1"/>
    <xf numFmtId="164" fontId="6" fillId="2" borderId="21" xfId="0" applyNumberFormat="1" applyFont="1" applyFill="1" applyBorder="1"/>
    <xf numFmtId="164" fontId="6" fillId="0" borderId="35" xfId="0" applyNumberFormat="1" applyFont="1" applyFill="1" applyBorder="1" applyAlignment="1">
      <alignment horizontal="right"/>
    </xf>
    <xf numFmtId="164" fontId="2" fillId="3" borderId="28" xfId="0" applyNumberFormat="1" applyFont="1" applyFill="1" applyBorder="1"/>
    <xf numFmtId="3" fontId="18" fillId="0" borderId="0" xfId="0" applyNumberFormat="1" applyFont="1" applyFill="1"/>
    <xf numFmtId="0" fontId="18" fillId="0" borderId="0" xfId="0" applyFont="1" applyFill="1"/>
    <xf numFmtId="0" fontId="49" fillId="0" borderId="15" xfId="0" applyFont="1" applyFill="1" applyBorder="1" applyAlignment="1">
      <alignment horizontal="left" indent="2"/>
    </xf>
    <xf numFmtId="0" fontId="49" fillId="0" borderId="36" xfId="0" applyFont="1" applyFill="1" applyBorder="1" applyAlignment="1"/>
    <xf numFmtId="164" fontId="49" fillId="2" borderId="15" xfId="0" applyNumberFormat="1" applyFont="1" applyFill="1" applyBorder="1" applyAlignment="1">
      <alignment horizontal="left" vertical="center"/>
    </xf>
    <xf numFmtId="164" fontId="49" fillId="2" borderId="36" xfId="0" applyNumberFormat="1" applyFont="1" applyFill="1" applyBorder="1" applyAlignment="1">
      <alignment horizontal="left" vertical="center"/>
    </xf>
    <xf numFmtId="166" fontId="7" fillId="2" borderId="45" xfId="4" applyNumberFormat="1" applyFont="1" applyFill="1" applyBorder="1" applyAlignment="1"/>
    <xf numFmtId="3" fontId="7" fillId="2" borderId="45" xfId="4" applyNumberFormat="1" applyFont="1" applyFill="1" applyBorder="1" applyAlignment="1"/>
    <xf numFmtId="4" fontId="7" fillId="2" borderId="46" xfId="4" applyNumberFormat="1" applyFont="1" applyFill="1" applyBorder="1" applyAlignment="1"/>
    <xf numFmtId="0" fontId="50" fillId="2" borderId="40" xfId="4" applyFont="1" applyFill="1" applyBorder="1" applyAlignment="1">
      <alignment horizontal="left"/>
    </xf>
    <xf numFmtId="0" fontId="50" fillId="2" borderId="27" xfId="4" applyFont="1" applyFill="1" applyBorder="1" applyAlignment="1">
      <alignment horizontal="left"/>
    </xf>
    <xf numFmtId="0" fontId="50" fillId="2" borderId="35" xfId="4" applyFont="1" applyFill="1" applyBorder="1"/>
    <xf numFmtId="3" fontId="50" fillId="2" borderId="35" xfId="4" applyNumberFormat="1" applyFont="1" applyFill="1" applyBorder="1"/>
    <xf numFmtId="4" fontId="50" fillId="2" borderId="22" xfId="4" applyNumberFormat="1" applyFont="1" applyFill="1" applyBorder="1" applyAlignment="1"/>
    <xf numFmtId="0" fontId="50" fillId="2" borderId="54" xfId="4" applyFont="1" applyFill="1" applyBorder="1" applyAlignment="1">
      <alignment horizontal="left"/>
    </xf>
    <xf numFmtId="0" fontId="50" fillId="2" borderId="55" xfId="4" applyFont="1" applyFill="1" applyBorder="1" applyAlignment="1">
      <alignment horizontal="left"/>
    </xf>
    <xf numFmtId="0" fontId="50" fillId="2" borderId="21" xfId="4" applyFont="1" applyFill="1" applyBorder="1"/>
    <xf numFmtId="3" fontId="50" fillId="2" borderId="21" xfId="4" applyNumberFormat="1" applyFont="1" applyFill="1" applyBorder="1"/>
    <xf numFmtId="4" fontId="50" fillId="2" borderId="64" xfId="4" applyNumberFormat="1" applyFont="1" applyFill="1" applyBorder="1" applyAlignment="1"/>
    <xf numFmtId="166" fontId="7" fillId="2" borderId="61" xfId="4" applyNumberFormat="1" applyFont="1" applyFill="1" applyBorder="1"/>
    <xf numFmtId="3" fontId="7" fillId="2" borderId="61" xfId="4" applyNumberFormat="1" applyFont="1" applyFill="1" applyBorder="1"/>
    <xf numFmtId="4" fontId="7" fillId="2" borderId="62" xfId="4" applyNumberFormat="1" applyFont="1" applyFill="1" applyBorder="1" applyAlignment="1"/>
    <xf numFmtId="3" fontId="7" fillId="2" borderId="61" xfId="4" applyNumberFormat="1" applyFont="1" applyFill="1" applyBorder="1" applyAlignment="1"/>
    <xf numFmtId="0" fontId="7" fillId="2" borderId="61" xfId="4" applyFont="1" applyFill="1" applyBorder="1"/>
    <xf numFmtId="0" fontId="7" fillId="2" borderId="61" xfId="4" applyFont="1" applyFill="1" applyBorder="1" applyAlignment="1"/>
    <xf numFmtId="0" fontId="4" fillId="4" borderId="0" xfId="4" applyFont="1" applyFill="1"/>
    <xf numFmtId="164" fontId="20" fillId="2" borderId="10" xfId="0" applyNumberFormat="1" applyFont="1" applyFill="1" applyBorder="1" applyAlignment="1">
      <alignment horizontal="left"/>
    </xf>
    <xf numFmtId="164" fontId="20" fillId="0" borderId="30" xfId="0" applyNumberFormat="1" applyFont="1" applyFill="1" applyBorder="1"/>
    <xf numFmtId="164" fontId="20" fillId="2" borderId="15" xfId="0" applyNumberFormat="1" applyFont="1" applyFill="1" applyBorder="1" applyAlignment="1">
      <alignment horizontal="left"/>
    </xf>
    <xf numFmtId="164" fontId="51" fillId="0" borderId="30" xfId="0" applyNumberFormat="1" applyFont="1" applyFill="1" applyBorder="1"/>
    <xf numFmtId="0" fontId="20" fillId="0" borderId="15" xfId="0" applyFont="1" applyFill="1" applyBorder="1"/>
    <xf numFmtId="0" fontId="23" fillId="2" borderId="0" xfId="4" applyFont="1" applyFill="1" applyBorder="1"/>
    <xf numFmtId="4" fontId="6" fillId="2" borderId="0" xfId="0" applyNumberFormat="1" applyFont="1" applyFill="1" applyBorder="1"/>
    <xf numFmtId="0" fontId="2" fillId="2" borderId="0" xfId="4" applyFont="1" applyFill="1" applyBorder="1"/>
    <xf numFmtId="0" fontId="6" fillId="2" borderId="7" xfId="0" applyFont="1" applyFill="1" applyBorder="1"/>
    <xf numFmtId="3" fontId="6" fillId="2" borderId="7" xfId="0" applyNumberFormat="1" applyFont="1" applyFill="1" applyBorder="1"/>
    <xf numFmtId="4" fontId="6" fillId="2" borderId="7" xfId="0" applyNumberFormat="1" applyFont="1" applyFill="1" applyBorder="1" applyAlignment="1">
      <alignment horizontal="right"/>
    </xf>
    <xf numFmtId="0" fontId="8" fillId="3" borderId="1" xfId="4" applyFont="1" applyFill="1" applyBorder="1" applyAlignment="1">
      <alignment horizontal="center" vertical="center"/>
    </xf>
    <xf numFmtId="0" fontId="7" fillId="3" borderId="78" xfId="4" applyFont="1" applyFill="1" applyBorder="1" applyAlignment="1">
      <alignment horizontal="left"/>
    </xf>
    <xf numFmtId="0" fontId="26" fillId="2" borderId="35" xfId="0" applyFont="1" applyFill="1" applyBorder="1" applyAlignment="1">
      <alignment horizontal="left"/>
    </xf>
    <xf numFmtId="0" fontId="26" fillId="2" borderId="66" xfId="0" applyFont="1" applyFill="1" applyBorder="1" applyAlignment="1">
      <alignment horizontal="left" wrapText="1"/>
    </xf>
    <xf numFmtId="0" fontId="26" fillId="2" borderId="21" xfId="0" applyFont="1" applyFill="1" applyBorder="1" applyAlignment="1">
      <alignment horizontal="left" wrapText="1"/>
    </xf>
    <xf numFmtId="0" fontId="26" fillId="2" borderId="19" xfId="0" applyFont="1" applyFill="1" applyBorder="1" applyAlignment="1">
      <alignment horizontal="left" wrapText="1"/>
    </xf>
    <xf numFmtId="0" fontId="26" fillId="0" borderId="19" xfId="0" applyFont="1" applyBorder="1" applyAlignment="1">
      <alignment wrapText="1"/>
    </xf>
    <xf numFmtId="0" fontId="26" fillId="0" borderId="35" xfId="0" applyFont="1" applyBorder="1" applyAlignment="1">
      <alignment wrapText="1"/>
    </xf>
    <xf numFmtId="0" fontId="7" fillId="5" borderId="65" xfId="4" applyFont="1" applyFill="1" applyBorder="1" applyAlignment="1">
      <alignment horizontal="left"/>
    </xf>
    <xf numFmtId="0" fontId="26" fillId="2" borderId="35" xfId="0" applyFont="1" applyFill="1" applyBorder="1" applyAlignment="1">
      <alignment wrapText="1"/>
    </xf>
    <xf numFmtId="0" fontId="26" fillId="2" borderId="21" xfId="0" applyFont="1" applyFill="1" applyBorder="1" applyAlignment="1">
      <alignment wrapText="1"/>
    </xf>
    <xf numFmtId="0" fontId="8" fillId="2" borderId="21" xfId="0" applyFont="1" applyFill="1" applyBorder="1" applyAlignment="1">
      <alignment horizontal="left" wrapText="1"/>
    </xf>
    <xf numFmtId="0" fontId="6" fillId="0" borderId="35" xfId="0" applyFont="1" applyBorder="1"/>
    <xf numFmtId="3" fontId="6" fillId="0" borderId="35" xfId="0" applyNumberFormat="1" applyFont="1" applyBorder="1"/>
    <xf numFmtId="0" fontId="26" fillId="2" borderId="19" xfId="0" applyFont="1" applyFill="1" applyBorder="1" applyAlignment="1">
      <alignment horizontal="left"/>
    </xf>
    <xf numFmtId="0" fontId="7" fillId="3" borderId="140" xfId="0" applyFont="1" applyFill="1" applyBorder="1" applyAlignment="1">
      <alignment horizontal="left"/>
    </xf>
    <xf numFmtId="3" fontId="7" fillId="3" borderId="141" xfId="0" applyNumberFormat="1" applyFont="1" applyFill="1" applyBorder="1"/>
    <xf numFmtId="4" fontId="7" fillId="3" borderId="142" xfId="0" applyNumberFormat="1" applyFont="1" applyFill="1" applyBorder="1"/>
    <xf numFmtId="0" fontId="6" fillId="2" borderId="27" xfId="0" applyFont="1" applyFill="1" applyBorder="1"/>
    <xf numFmtId="4" fontId="6" fillId="2" borderId="143" xfId="0" applyNumberFormat="1" applyFont="1" applyFill="1" applyBorder="1"/>
    <xf numFmtId="0" fontId="7" fillId="3" borderId="144" xfId="4" applyFont="1" applyFill="1" applyBorder="1" applyAlignment="1">
      <alignment horizontal="left"/>
    </xf>
    <xf numFmtId="0" fontId="7" fillId="3" borderId="76" xfId="4" applyFont="1" applyFill="1" applyBorder="1" applyAlignment="1">
      <alignment horizontal="left"/>
    </xf>
    <xf numFmtId="0" fontId="6" fillId="0" borderId="27" xfId="0" applyFont="1" applyBorder="1"/>
    <xf numFmtId="4" fontId="6" fillId="0" borderId="143" xfId="0" applyNumberFormat="1" applyFont="1" applyBorder="1"/>
    <xf numFmtId="0" fontId="4" fillId="2" borderId="0" xfId="4" applyFont="1" applyFill="1" applyBorder="1"/>
    <xf numFmtId="3" fontId="6" fillId="0" borderId="19" xfId="0" applyNumberFormat="1" applyFont="1" applyBorder="1"/>
    <xf numFmtId="4" fontId="6" fillId="0" borderId="19" xfId="0" applyNumberFormat="1" applyFont="1" applyBorder="1"/>
    <xf numFmtId="3" fontId="6" fillId="0" borderId="61" xfId="0" applyNumberFormat="1" applyFont="1" applyBorder="1"/>
    <xf numFmtId="4" fontId="6" fillId="0" borderId="61" xfId="0" applyNumberFormat="1" applyFont="1" applyBorder="1"/>
    <xf numFmtId="3" fontId="6" fillId="3" borderId="58" xfId="0" applyNumberFormat="1" applyFont="1" applyFill="1" applyBorder="1"/>
    <xf numFmtId="4" fontId="6" fillId="3" borderId="85" xfId="0" applyNumberFormat="1" applyFont="1" applyFill="1" applyBorder="1"/>
    <xf numFmtId="0" fontId="29" fillId="0" borderId="0" xfId="4" applyFont="1"/>
    <xf numFmtId="0" fontId="29" fillId="0" borderId="0" xfId="4" applyFont="1" applyAlignment="1">
      <alignment horizontal="center"/>
    </xf>
    <xf numFmtId="49" fontId="23" fillId="0" borderId="0" xfId="4" applyNumberFormat="1" applyFont="1" applyAlignment="1">
      <alignment horizontal="center"/>
    </xf>
    <xf numFmtId="49" fontId="2" fillId="0" borderId="0" xfId="4" applyNumberFormat="1" applyFont="1" applyAlignment="1">
      <alignment horizontal="center"/>
    </xf>
    <xf numFmtId="0" fontId="4" fillId="3" borderId="79" xfId="4" applyFont="1" applyFill="1" applyBorder="1" applyAlignment="1">
      <alignment horizontal="center"/>
    </xf>
    <xf numFmtId="0" fontId="5" fillId="3" borderId="108" xfId="4" applyFont="1" applyFill="1" applyBorder="1" applyAlignment="1">
      <alignment horizontal="center"/>
    </xf>
    <xf numFmtId="3" fontId="5" fillId="3" borderId="56" xfId="4" applyNumberFormat="1" applyFont="1" applyFill="1" applyBorder="1" applyAlignment="1">
      <alignment horizontal="center"/>
    </xf>
    <xf numFmtId="49" fontId="7" fillId="3" borderId="71" xfId="4" applyNumberFormat="1" applyFont="1" applyFill="1" applyBorder="1" applyAlignment="1">
      <alignment horizontal="center" vertical="center"/>
    </xf>
    <xf numFmtId="49" fontId="6" fillId="0" borderId="0" xfId="4" applyNumberFormat="1" applyFont="1" applyBorder="1" applyAlignment="1">
      <alignment horizontal="center"/>
    </xf>
    <xf numFmtId="49" fontId="6" fillId="0" borderId="0" xfId="4" applyNumberFormat="1" applyFont="1" applyBorder="1" applyAlignment="1">
      <alignment horizontal="center" wrapText="1"/>
    </xf>
    <xf numFmtId="49" fontId="7" fillId="0" borderId="0" xfId="4" applyNumberFormat="1" applyFont="1" applyBorder="1" applyAlignment="1">
      <alignment horizontal="center"/>
    </xf>
    <xf numFmtId="3" fontId="7" fillId="0" borderId="27" xfId="4" applyNumberFormat="1" applyFont="1" applyBorder="1"/>
    <xf numFmtId="49" fontId="8" fillId="0" borderId="0" xfId="4" applyNumberFormat="1" applyFont="1" applyBorder="1" applyAlignment="1">
      <alignment horizontal="center"/>
    </xf>
    <xf numFmtId="3" fontId="7" fillId="0" borderId="0" xfId="4" applyNumberFormat="1" applyFont="1" applyBorder="1"/>
    <xf numFmtId="0" fontId="29" fillId="0" borderId="0" xfId="4" applyFont="1" applyBorder="1"/>
    <xf numFmtId="3" fontId="10" fillId="0" borderId="0" xfId="4" applyNumberFormat="1" applyFont="1" applyFill="1" applyBorder="1"/>
    <xf numFmtId="49" fontId="7" fillId="3" borderId="128" xfId="4" applyNumberFormat="1" applyFont="1" applyFill="1" applyBorder="1" applyAlignment="1">
      <alignment horizontal="center" vertical="center"/>
    </xf>
    <xf numFmtId="49" fontId="2" fillId="3" borderId="123" xfId="4" applyNumberFormat="1" applyFont="1" applyFill="1" applyBorder="1" applyAlignment="1">
      <alignment horizontal="center" vertical="center"/>
    </xf>
    <xf numFmtId="3" fontId="2" fillId="3" borderId="120" xfId="4" applyNumberFormat="1" applyFont="1" applyFill="1" applyBorder="1" applyAlignment="1">
      <alignment vertical="center"/>
    </xf>
    <xf numFmtId="3" fontId="36" fillId="0" borderId="0" xfId="4" applyNumberFormat="1" applyFont="1" applyFill="1" applyBorder="1"/>
    <xf numFmtId="4" fontId="29" fillId="0" borderId="0" xfId="4" applyNumberFormat="1" applyFont="1"/>
    <xf numFmtId="0" fontId="39" fillId="0" borderId="0" xfId="4" applyFont="1" applyAlignment="1">
      <alignment horizontal="center"/>
    </xf>
    <xf numFmtId="49" fontId="28" fillId="0" borderId="114" xfId="4" applyNumberFormat="1" applyFont="1" applyBorder="1" applyAlignment="1">
      <alignment horizontal="center" wrapText="1"/>
    </xf>
    <xf numFmtId="0" fontId="6" fillId="0" borderId="114" xfId="4" applyFont="1" applyBorder="1" applyAlignment="1">
      <alignment horizontal="center" wrapText="1"/>
    </xf>
    <xf numFmtId="0" fontId="40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3" fontId="6" fillId="0" borderId="45" xfId="0" applyNumberFormat="1" applyFont="1" applyBorder="1" applyAlignment="1">
      <alignment horizontal="right" vertical="center" wrapText="1"/>
    </xf>
    <xf numFmtId="4" fontId="6" fillId="0" borderId="22" xfId="0" applyNumberFormat="1" applyFont="1" applyBorder="1" applyAlignment="1">
      <alignment horizontal="right" vertical="center"/>
    </xf>
    <xf numFmtId="0" fontId="6" fillId="0" borderId="40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left" vertical="center" wrapText="1"/>
    </xf>
    <xf numFmtId="3" fontId="6" fillId="0" borderId="35" xfId="0" applyNumberFormat="1" applyFont="1" applyBorder="1" applyAlignment="1">
      <alignment horizontal="right" vertical="center" wrapText="1"/>
    </xf>
    <xf numFmtId="0" fontId="6" fillId="0" borderId="5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left" vertical="center" wrapText="1"/>
    </xf>
    <xf numFmtId="3" fontId="6" fillId="0" borderId="6" xfId="0" applyNumberFormat="1" applyFont="1" applyBorder="1" applyAlignment="1">
      <alignment horizontal="right" vertical="center" wrapText="1"/>
    </xf>
    <xf numFmtId="4" fontId="6" fillId="0" borderId="48" xfId="0" applyNumberFormat="1" applyFont="1" applyBorder="1" applyAlignment="1">
      <alignment horizontal="right" vertical="center"/>
    </xf>
    <xf numFmtId="3" fontId="8" fillId="0" borderId="0" xfId="0" applyNumberFormat="1" applyFont="1"/>
    <xf numFmtId="3" fontId="8" fillId="0" borderId="0" xfId="0" applyNumberFormat="1" applyFont="1" applyAlignment="1">
      <alignment wrapText="1"/>
    </xf>
    <xf numFmtId="0" fontId="11" fillId="0" borderId="0" xfId="0" applyFont="1"/>
    <xf numFmtId="0" fontId="7" fillId="0" borderId="0" xfId="0" applyFont="1" applyBorder="1" applyAlignment="1">
      <alignment horizontal="left" vertical="center"/>
    </xf>
    <xf numFmtId="3" fontId="7" fillId="0" borderId="0" xfId="0" applyNumberFormat="1" applyFont="1" applyBorder="1" applyAlignment="1">
      <alignment horizontal="left" vertical="center" wrapText="1"/>
    </xf>
    <xf numFmtId="0" fontId="20" fillId="0" borderId="15" xfId="0" applyFont="1" applyFill="1" applyBorder="1" applyAlignment="1">
      <alignment wrapText="1"/>
    </xf>
    <xf numFmtId="0" fontId="6" fillId="2" borderId="47" xfId="0" applyFont="1" applyFill="1" applyBorder="1" applyAlignment="1">
      <alignment horizontal="center" vertical="center"/>
    </xf>
    <xf numFmtId="3" fontId="6" fillId="0" borderId="35" xfId="0" applyNumberFormat="1" applyFont="1" applyBorder="1" applyAlignment="1">
      <alignment horizontal="left" vertical="center" wrapText="1"/>
    </xf>
    <xf numFmtId="4" fontId="6" fillId="0" borderId="22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3" fontId="6" fillId="0" borderId="6" xfId="0" applyNumberFormat="1" applyFont="1" applyBorder="1" applyAlignment="1">
      <alignment horizontal="left" vertical="center" wrapText="1"/>
    </xf>
    <xf numFmtId="4" fontId="6" fillId="0" borderId="48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41" fillId="2" borderId="0" xfId="0" applyFont="1" applyFill="1" applyAlignment="1">
      <alignment horizontal="left"/>
    </xf>
    <xf numFmtId="0" fontId="41" fillId="2" borderId="0" xfId="0" applyFont="1" applyFill="1" applyAlignment="1">
      <alignment horizontal="center"/>
    </xf>
    <xf numFmtId="0" fontId="41" fillId="0" borderId="0" xfId="0" applyFont="1"/>
    <xf numFmtId="3" fontId="41" fillId="2" borderId="0" xfId="0" applyNumberFormat="1" applyFont="1" applyFill="1"/>
    <xf numFmtId="0" fontId="42" fillId="2" borderId="0" xfId="0" applyFont="1" applyFill="1" applyBorder="1" applyAlignment="1">
      <alignment horizontal="left"/>
    </xf>
    <xf numFmtId="0" fontId="41" fillId="2" borderId="0" xfId="0" applyFont="1" applyFill="1" applyBorder="1" applyAlignment="1">
      <alignment horizontal="center"/>
    </xf>
    <xf numFmtId="0" fontId="41" fillId="2" borderId="0" xfId="0" applyFont="1" applyFill="1" applyBorder="1"/>
    <xf numFmtId="3" fontId="41" fillId="2" borderId="0" xfId="0" applyNumberFormat="1" applyFont="1" applyFill="1" applyBorder="1"/>
    <xf numFmtId="0" fontId="8" fillId="0" borderId="0" xfId="4"/>
    <xf numFmtId="0" fontId="19" fillId="0" borderId="146" xfId="4" applyFont="1" applyFill="1" applyBorder="1"/>
    <xf numFmtId="0" fontId="19" fillId="0" borderId="21" xfId="4" applyFont="1" applyFill="1" applyBorder="1"/>
    <xf numFmtId="3" fontId="19" fillId="0" borderId="21" xfId="4" applyNumberFormat="1" applyFont="1" applyFill="1" applyBorder="1"/>
    <xf numFmtId="3" fontId="19" fillId="0" borderId="126" xfId="4" applyNumberFormat="1" applyFont="1" applyFill="1" applyBorder="1"/>
    <xf numFmtId="0" fontId="19" fillId="0" borderId="81" xfId="4" applyFont="1" applyFill="1" applyBorder="1"/>
    <xf numFmtId="3" fontId="19" fillId="0" borderId="19" xfId="4" applyNumberFormat="1" applyFont="1" applyFill="1" applyBorder="1"/>
    <xf numFmtId="3" fontId="19" fillId="0" borderId="133" xfId="4" applyNumberFormat="1" applyFont="1" applyFill="1" applyBorder="1"/>
    <xf numFmtId="3" fontId="8" fillId="0" borderId="19" xfId="4" applyNumberFormat="1" applyBorder="1"/>
    <xf numFmtId="0" fontId="52" fillId="0" borderId="0" xfId="4" applyFont="1" applyAlignment="1">
      <alignment horizontal="right"/>
    </xf>
    <xf numFmtId="4" fontId="52" fillId="0" borderId="0" xfId="4" applyNumberFormat="1" applyFont="1"/>
    <xf numFmtId="3" fontId="8" fillId="0" borderId="0" xfId="4" applyNumberFormat="1"/>
    <xf numFmtId="4" fontId="8" fillId="0" borderId="0" xfId="0" applyNumberFormat="1" applyFont="1" applyFill="1"/>
    <xf numFmtId="0" fontId="2" fillId="0" borderId="0" xfId="0" applyFont="1" applyFill="1"/>
    <xf numFmtId="0" fontId="8" fillId="0" borderId="0" xfId="0" applyFont="1" applyFill="1" applyAlignment="1">
      <alignment horizontal="right"/>
    </xf>
    <xf numFmtId="4" fontId="8" fillId="0" borderId="0" xfId="0" applyNumberFormat="1" applyFont="1" applyFill="1" applyAlignment="1">
      <alignment horizontal="right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3" fontId="6" fillId="0" borderId="45" xfId="0" applyNumberFormat="1" applyFont="1" applyFill="1" applyBorder="1" applyAlignment="1">
      <alignment horizontal="right" vertical="center"/>
    </xf>
    <xf numFmtId="4" fontId="6" fillId="0" borderId="46" xfId="0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vertical="center" wrapText="1"/>
    </xf>
    <xf numFmtId="3" fontId="6" fillId="0" borderId="35" xfId="0" applyNumberFormat="1" applyFont="1" applyFill="1" applyBorder="1" applyAlignment="1">
      <alignment vertical="center"/>
    </xf>
    <xf numFmtId="3" fontId="6" fillId="2" borderId="35" xfId="0" applyNumberFormat="1" applyFont="1" applyFill="1" applyBorder="1" applyAlignment="1">
      <alignment horizontal="right" vertical="center"/>
    </xf>
    <xf numFmtId="4" fontId="6" fillId="0" borderId="22" xfId="0" applyNumberFormat="1" applyFont="1" applyFill="1" applyBorder="1" applyAlignment="1">
      <alignment vertical="center"/>
    </xf>
    <xf numFmtId="169" fontId="6" fillId="0" borderId="47" xfId="0" applyNumberFormat="1" applyFont="1" applyFill="1" applyBorder="1" applyAlignment="1">
      <alignment horizontal="center" vertical="center"/>
    </xf>
    <xf numFmtId="169" fontId="6" fillId="0" borderId="5" xfId="0" applyNumberFormat="1" applyFont="1" applyFill="1" applyBorder="1" applyAlignment="1">
      <alignment horizontal="center"/>
    </xf>
    <xf numFmtId="0" fontId="6" fillId="0" borderId="6" xfId="0" applyFont="1" applyFill="1" applyBorder="1"/>
    <xf numFmtId="4" fontId="6" fillId="0" borderId="48" xfId="0" applyNumberFormat="1" applyFont="1" applyFill="1" applyBorder="1" applyAlignment="1">
      <alignment vertical="center"/>
    </xf>
    <xf numFmtId="169" fontId="26" fillId="3" borderId="1" xfId="0" applyNumberFormat="1" applyFont="1" applyFill="1" applyBorder="1" applyAlignment="1">
      <alignment horizontal="left"/>
    </xf>
    <xf numFmtId="0" fontId="26" fillId="3" borderId="3" xfId="0" applyFont="1" applyFill="1" applyBorder="1" applyAlignment="1">
      <alignment horizontal="center"/>
    </xf>
    <xf numFmtId="0" fontId="26" fillId="3" borderId="3" xfId="0" applyFont="1" applyFill="1" applyBorder="1"/>
    <xf numFmtId="0" fontId="26" fillId="0" borderId="0" xfId="0" applyFont="1" applyFill="1"/>
    <xf numFmtId="0" fontId="27" fillId="0" borderId="0" xfId="0" applyFont="1" applyFill="1"/>
    <xf numFmtId="169" fontId="6" fillId="0" borderId="47" xfId="0" applyNumberFormat="1" applyFont="1" applyFill="1" applyBorder="1" applyAlignment="1">
      <alignment horizontal="center"/>
    </xf>
    <xf numFmtId="0" fontId="6" fillId="0" borderId="35" xfId="0" applyFont="1" applyFill="1" applyBorder="1" applyAlignment="1">
      <alignment horizontal="center"/>
    </xf>
    <xf numFmtId="0" fontId="6" fillId="0" borderId="35" xfId="0" applyFont="1" applyFill="1" applyBorder="1"/>
    <xf numFmtId="164" fontId="6" fillId="0" borderId="35" xfId="0" applyNumberFormat="1" applyFont="1" applyFill="1" applyBorder="1" applyAlignment="1"/>
    <xf numFmtId="164" fontId="6" fillId="2" borderId="35" xfId="0" applyNumberFormat="1" applyFont="1" applyFill="1" applyBorder="1" applyAlignment="1"/>
    <xf numFmtId="0" fontId="6" fillId="0" borderId="47" xfId="0" applyFont="1" applyFill="1" applyBorder="1" applyAlignment="1">
      <alignment horizontal="center"/>
    </xf>
    <xf numFmtId="0" fontId="6" fillId="0" borderId="47" xfId="0" applyFont="1" applyFill="1" applyBorder="1" applyAlignment="1">
      <alignment horizontal="center" vertical="center"/>
    </xf>
    <xf numFmtId="164" fontId="6" fillId="0" borderId="35" xfId="0" applyNumberFormat="1" applyFont="1" applyFill="1" applyBorder="1" applyAlignment="1">
      <alignment vertical="center"/>
    </xf>
    <xf numFmtId="164" fontId="6" fillId="2" borderId="35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4" fontId="6" fillId="0" borderId="22" xfId="0" applyNumberFormat="1" applyFont="1" applyFill="1" applyBorder="1" applyAlignment="1"/>
    <xf numFmtId="164" fontId="6" fillId="2" borderId="35" xfId="3" applyNumberFormat="1" applyFont="1" applyFill="1" applyBorder="1"/>
    <xf numFmtId="4" fontId="6" fillId="0" borderId="22" xfId="0" applyNumberFormat="1" applyFont="1" applyFill="1" applyBorder="1" applyAlignment="1">
      <alignment vertical="center" shrinkToFit="1"/>
    </xf>
    <xf numFmtId="0" fontId="6" fillId="2" borderId="35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vertical="center" wrapText="1"/>
    </xf>
    <xf numFmtId="164" fontId="6" fillId="2" borderId="35" xfId="0" applyNumberFormat="1" applyFont="1" applyFill="1" applyBorder="1" applyAlignment="1">
      <alignment horizontal="right" vertical="center"/>
    </xf>
    <xf numFmtId="4" fontId="6" fillId="2" borderId="22" xfId="0" applyNumberFormat="1" applyFont="1" applyFill="1" applyBorder="1" applyAlignment="1">
      <alignment vertical="center"/>
    </xf>
    <xf numFmtId="171" fontId="6" fillId="2" borderId="0" xfId="0" applyNumberFormat="1" applyFont="1" applyFill="1" applyAlignment="1">
      <alignment vertical="center"/>
    </xf>
    <xf numFmtId="3" fontId="2" fillId="3" borderId="3" xfId="0" applyNumberFormat="1" applyFont="1" applyFill="1" applyBorder="1" applyAlignment="1"/>
    <xf numFmtId="4" fontId="7" fillId="3" borderId="4" xfId="0" applyNumberFormat="1" applyFont="1" applyFill="1" applyBorder="1" applyAlignment="1">
      <alignment vertical="center"/>
    </xf>
    <xf numFmtId="164" fontId="29" fillId="0" borderId="0" xfId="0" applyNumberFormat="1" applyFont="1" applyFill="1"/>
    <xf numFmtId="4" fontId="6" fillId="0" borderId="0" xfId="0" applyNumberFormat="1" applyFont="1" applyFill="1" applyBorder="1" applyAlignment="1">
      <alignment vertical="center"/>
    </xf>
    <xf numFmtId="0" fontId="25" fillId="3" borderId="1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vertical="center"/>
    </xf>
    <xf numFmtId="0" fontId="25" fillId="3" borderId="3" xfId="0" applyFont="1" applyFill="1" applyBorder="1" applyAlignment="1">
      <alignment horizontal="center" vertical="center"/>
    </xf>
    <xf numFmtId="3" fontId="6" fillId="0" borderId="35" xfId="0" applyNumberFormat="1" applyFont="1" applyFill="1" applyBorder="1" applyAlignment="1">
      <alignment horizontal="right" vertical="center"/>
    </xf>
    <xf numFmtId="49" fontId="6" fillId="0" borderId="47" xfId="0" applyNumberFormat="1" applyFont="1" applyFill="1" applyBorder="1" applyAlignment="1">
      <alignment horizontal="center" vertical="center"/>
    </xf>
    <xf numFmtId="0" fontId="8" fillId="3" borderId="0" xfId="0" applyFont="1" applyFill="1"/>
    <xf numFmtId="0" fontId="29" fillId="0" borderId="0" xfId="0" applyFont="1" applyFill="1" applyAlignment="1">
      <alignment horizontal="right"/>
    </xf>
    <xf numFmtId="0" fontId="6" fillId="0" borderId="44" xfId="0" applyFont="1" applyFill="1" applyBorder="1" applyAlignment="1">
      <alignment horizontal="center"/>
    </xf>
    <xf numFmtId="0" fontId="6" fillId="0" borderId="45" xfId="0" applyFont="1" applyFill="1" applyBorder="1" applyAlignment="1">
      <alignment horizontal="center"/>
    </xf>
    <xf numFmtId="0" fontId="6" fillId="0" borderId="45" xfId="0" applyFont="1" applyFill="1" applyBorder="1"/>
    <xf numFmtId="3" fontId="6" fillId="0" borderId="45" xfId="0" applyNumberFormat="1" applyFont="1" applyFill="1" applyBorder="1" applyAlignment="1">
      <alignment vertical="center"/>
    </xf>
    <xf numFmtId="0" fontId="29" fillId="3" borderId="0" xfId="0" applyFont="1" applyFill="1"/>
    <xf numFmtId="4" fontId="6" fillId="0" borderId="49" xfId="0" applyNumberFormat="1" applyFont="1" applyFill="1" applyBorder="1" applyAlignment="1">
      <alignment vertical="center"/>
    </xf>
    <xf numFmtId="3" fontId="29" fillId="0" borderId="0" xfId="0" applyNumberFormat="1" applyFont="1" applyFill="1"/>
    <xf numFmtId="0" fontId="2" fillId="3" borderId="42" xfId="0" applyFont="1" applyFill="1" applyBorder="1"/>
    <xf numFmtId="3" fontId="2" fillId="3" borderId="42" xfId="0" applyNumberFormat="1" applyFont="1" applyFill="1" applyBorder="1"/>
    <xf numFmtId="4" fontId="7" fillId="3" borderId="42" xfId="0" applyNumberFormat="1" applyFont="1" applyFill="1" applyBorder="1" applyAlignment="1"/>
    <xf numFmtId="0" fontId="4" fillId="0" borderId="0" xfId="0" applyFont="1" applyFill="1"/>
    <xf numFmtId="0" fontId="2" fillId="0" borderId="49" xfId="0" applyFont="1" applyFill="1" applyBorder="1"/>
    <xf numFmtId="3" fontId="2" fillId="0" borderId="49" xfId="0" applyNumberFormat="1" applyFont="1" applyFill="1" applyBorder="1"/>
    <xf numFmtId="4" fontId="7" fillId="0" borderId="49" xfId="0" applyNumberFormat="1" applyFont="1" applyFill="1" applyBorder="1" applyAlignment="1">
      <alignment vertical="center"/>
    </xf>
    <xf numFmtId="4" fontId="6" fillId="0" borderId="50" xfId="0" applyNumberFormat="1" applyFont="1" applyFill="1" applyBorder="1" applyAlignment="1">
      <alignment vertical="center"/>
    </xf>
    <xf numFmtId="3" fontId="1" fillId="3" borderId="42" xfId="0" applyNumberFormat="1" applyFont="1" applyFill="1" applyBorder="1"/>
    <xf numFmtId="4" fontId="7" fillId="3" borderId="42" xfId="0" applyNumberFormat="1" applyFont="1" applyFill="1" applyBorder="1" applyAlignment="1">
      <alignment vertical="center"/>
    </xf>
    <xf numFmtId="4" fontId="29" fillId="0" borderId="0" xfId="0" applyNumberFormat="1" applyFont="1" applyFill="1"/>
    <xf numFmtId="0" fontId="6" fillId="0" borderId="26" xfId="0" applyFont="1" applyFill="1" applyBorder="1"/>
    <xf numFmtId="0" fontId="20" fillId="0" borderId="16" xfId="0" applyFont="1" applyFill="1" applyBorder="1"/>
    <xf numFmtId="3" fontId="6" fillId="2" borderId="16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3" fontId="6" fillId="0" borderId="11" xfId="0" applyNumberFormat="1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center"/>
    </xf>
    <xf numFmtId="0" fontId="20" fillId="0" borderId="10" xfId="0" applyFont="1" applyFill="1" applyBorder="1" applyAlignment="1">
      <alignment wrapText="1"/>
    </xf>
    <xf numFmtId="3" fontId="20" fillId="0" borderId="10" xfId="0" applyNumberFormat="1" applyFont="1" applyFill="1" applyBorder="1"/>
    <xf numFmtId="3" fontId="20" fillId="0" borderId="0" xfId="0" applyNumberFormat="1" applyFont="1" applyFill="1"/>
    <xf numFmtId="0" fontId="20" fillId="0" borderId="0" xfId="0" applyFont="1" applyFill="1"/>
    <xf numFmtId="3" fontId="20" fillId="0" borderId="15" xfId="0" applyNumberFormat="1" applyFont="1" applyFill="1" applyBorder="1"/>
    <xf numFmtId="164" fontId="20" fillId="0" borderId="10" xfId="0" applyNumberFormat="1" applyFont="1" applyFill="1" applyBorder="1" applyAlignment="1">
      <alignment horizontal="left"/>
    </xf>
    <xf numFmtId="164" fontId="20" fillId="2" borderId="9" xfId="0" applyNumberFormat="1" applyFont="1" applyFill="1" applyBorder="1" applyAlignment="1">
      <alignment horizontal="left"/>
    </xf>
    <xf numFmtId="164" fontId="20" fillId="0" borderId="15" xfId="0" applyNumberFormat="1" applyFont="1" applyFill="1" applyBorder="1" applyAlignment="1">
      <alignment horizontal="left"/>
    </xf>
    <xf numFmtId="164" fontId="20" fillId="2" borderId="13" xfId="0" applyNumberFormat="1" applyFont="1" applyFill="1" applyBorder="1" applyAlignment="1">
      <alignment horizontal="left"/>
    </xf>
    <xf numFmtId="3" fontId="6" fillId="2" borderId="10" xfId="0" applyNumberFormat="1" applyFont="1" applyFill="1" applyBorder="1" applyAlignment="1">
      <alignment horizontal="right" vertical="center" wrapText="1"/>
    </xf>
    <xf numFmtId="3" fontId="6" fillId="2" borderId="9" xfId="0" applyNumberFormat="1" applyFont="1" applyFill="1" applyBorder="1" applyAlignment="1">
      <alignment horizontal="right" vertical="center"/>
    </xf>
    <xf numFmtId="0" fontId="20" fillId="0" borderId="36" xfId="0" applyFont="1" applyFill="1" applyBorder="1" applyAlignment="1">
      <alignment wrapText="1"/>
    </xf>
    <xf numFmtId="3" fontId="20" fillId="0" borderId="36" xfId="0" applyNumberFormat="1" applyFont="1" applyFill="1" applyBorder="1"/>
    <xf numFmtId="164" fontId="20" fillId="2" borderId="41" xfId="0" applyNumberFormat="1" applyFont="1" applyFill="1" applyBorder="1" applyAlignment="1">
      <alignment horizontal="left"/>
    </xf>
    <xf numFmtId="3" fontId="6" fillId="2" borderId="26" xfId="0" applyNumberFormat="1" applyFont="1" applyFill="1" applyBorder="1" applyAlignment="1">
      <alignment horizontal="right" vertical="center"/>
    </xf>
    <xf numFmtId="164" fontId="2" fillId="2" borderId="31" xfId="0" applyNumberFormat="1" applyFont="1" applyFill="1" applyBorder="1"/>
    <xf numFmtId="164" fontId="2" fillId="3" borderId="136" xfId="0" applyNumberFormat="1" applyFont="1" applyFill="1" applyBorder="1"/>
    <xf numFmtId="164" fontId="6" fillId="0" borderId="10" xfId="0" applyNumberFormat="1" applyFont="1" applyFill="1" applyBorder="1"/>
    <xf numFmtId="164" fontId="6" fillId="0" borderId="15" xfId="0" applyNumberFormat="1" applyFont="1" applyFill="1" applyBorder="1"/>
    <xf numFmtId="164" fontId="13" fillId="2" borderId="15" xfId="0" applyNumberFormat="1" applyFont="1" applyFill="1" applyBorder="1" applyAlignment="1">
      <alignment horizontal="center" vertical="center"/>
    </xf>
    <xf numFmtId="164" fontId="13" fillId="2" borderId="36" xfId="0" applyNumberFormat="1" applyFont="1" applyFill="1" applyBorder="1" applyAlignment="1">
      <alignment horizontal="center" vertical="center"/>
    </xf>
    <xf numFmtId="164" fontId="13" fillId="0" borderId="10" xfId="0" applyNumberFormat="1" applyFont="1" applyFill="1" applyBorder="1" applyAlignment="1">
      <alignment horizontal="left"/>
    </xf>
    <xf numFmtId="164" fontId="13" fillId="0" borderId="15" xfId="0" applyNumberFormat="1" applyFont="1" applyFill="1" applyBorder="1" applyAlignment="1">
      <alignment horizontal="right"/>
    </xf>
    <xf numFmtId="3" fontId="2" fillId="0" borderId="58" xfId="4" applyNumberFormat="1" applyFont="1" applyBorder="1"/>
    <xf numFmtId="3" fontId="7" fillId="0" borderId="61" xfId="4" applyNumberFormat="1" applyFont="1" applyFill="1" applyBorder="1"/>
    <xf numFmtId="3" fontId="50" fillId="0" borderId="35" xfId="4" applyNumberFormat="1" applyFont="1" applyFill="1" applyBorder="1"/>
    <xf numFmtId="3" fontId="7" fillId="2" borderId="96" xfId="4" applyNumberFormat="1" applyFont="1" applyFill="1" applyBorder="1"/>
    <xf numFmtId="3" fontId="6" fillId="2" borderId="96" xfId="4" applyNumberFormat="1" applyFont="1" applyFill="1" applyBorder="1"/>
    <xf numFmtId="3" fontId="7" fillId="0" borderId="19" xfId="0" applyNumberFormat="1" applyFont="1" applyBorder="1"/>
    <xf numFmtId="164" fontId="13" fillId="2" borderId="35" xfId="0" applyNumberFormat="1" applyFont="1" applyFill="1" applyBorder="1" applyAlignment="1">
      <alignment horizontal="left"/>
    </xf>
    <xf numFmtId="164" fontId="6" fillId="2" borderId="10" xfId="0" applyNumberFormat="1" applyFont="1" applyFill="1" applyBorder="1" applyAlignment="1">
      <alignment horizontal="right"/>
    </xf>
    <xf numFmtId="164" fontId="6" fillId="0" borderId="10" xfId="0" applyNumberFormat="1" applyFont="1" applyFill="1" applyBorder="1" applyAlignment="1">
      <alignment horizontal="right"/>
    </xf>
    <xf numFmtId="164" fontId="6" fillId="2" borderId="10" xfId="0" applyNumberFormat="1" applyFont="1" applyFill="1" applyBorder="1"/>
    <xf numFmtId="164" fontId="6" fillId="4" borderId="10" xfId="0" applyNumberFormat="1" applyFont="1" applyFill="1" applyBorder="1"/>
    <xf numFmtId="164" fontId="6" fillId="2" borderId="15" xfId="0" applyNumberFormat="1" applyFont="1" applyFill="1" applyBorder="1" applyAlignment="1"/>
    <xf numFmtId="4" fontId="2" fillId="0" borderId="19" xfId="0" applyNumberFormat="1" applyFont="1" applyFill="1" applyBorder="1" applyAlignment="1"/>
    <xf numFmtId="164" fontId="6" fillId="0" borderId="19" xfId="0" applyNumberFormat="1" applyFont="1" applyFill="1" applyBorder="1"/>
    <xf numFmtId="4" fontId="6" fillId="0" borderId="19" xfId="0" applyNumberFormat="1" applyFont="1" applyFill="1" applyBorder="1"/>
    <xf numFmtId="4" fontId="2" fillId="3" borderId="6" xfId="0" applyNumberFormat="1" applyFont="1" applyFill="1" applyBorder="1" applyAlignment="1"/>
    <xf numFmtId="164" fontId="20" fillId="2" borderId="15" xfId="0" applyNumberFormat="1" applyFont="1" applyFill="1" applyBorder="1" applyAlignment="1">
      <alignment horizontal="left" vertical="center"/>
    </xf>
    <xf numFmtId="164" fontId="20" fillId="2" borderId="16" xfId="0" applyNumberFormat="1" applyFont="1" applyFill="1" applyBorder="1" applyAlignment="1">
      <alignment horizontal="left" vertical="center"/>
    </xf>
    <xf numFmtId="0" fontId="8" fillId="2" borderId="0" xfId="0" applyFont="1" applyFill="1" applyAlignment="1"/>
    <xf numFmtId="0" fontId="4" fillId="3" borderId="29" xfId="0" applyFont="1" applyFill="1" applyBorder="1" applyAlignment="1">
      <alignment horizontal="center" vertical="center" wrapText="1"/>
    </xf>
    <xf numFmtId="164" fontId="20" fillId="2" borderId="36" xfId="0" applyNumberFormat="1" applyFont="1" applyFill="1" applyBorder="1" applyAlignment="1">
      <alignment horizontal="left"/>
    </xf>
    <xf numFmtId="0" fontId="20" fillId="2" borderId="15" xfId="0" applyFont="1" applyFill="1" applyBorder="1" applyAlignment="1">
      <alignment wrapText="1"/>
    </xf>
    <xf numFmtId="164" fontId="48" fillId="3" borderId="136" xfId="0" applyNumberFormat="1" applyFont="1" applyFill="1" applyBorder="1"/>
    <xf numFmtId="0" fontId="4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/>
    </xf>
    <xf numFmtId="165" fontId="6" fillId="0" borderId="10" xfId="0" applyNumberFormat="1" applyFont="1" applyFill="1" applyBorder="1"/>
    <xf numFmtId="165" fontId="20" fillId="0" borderId="10" xfId="0" applyNumberFormat="1" applyFont="1" applyFill="1" applyBorder="1"/>
    <xf numFmtId="165" fontId="20" fillId="0" borderId="15" xfId="0" applyNumberFormat="1" applyFont="1" applyFill="1" applyBorder="1"/>
    <xf numFmtId="165" fontId="20" fillId="0" borderId="36" xfId="0" applyNumberFormat="1" applyFont="1" applyFill="1" applyBorder="1"/>
    <xf numFmtId="165" fontId="48" fillId="3" borderId="28" xfId="0" applyNumberFormat="1" applyFont="1" applyFill="1" applyBorder="1"/>
    <xf numFmtId="164" fontId="20" fillId="0" borderId="10" xfId="0" applyNumberFormat="1" applyFont="1" applyFill="1" applyBorder="1"/>
    <xf numFmtId="164" fontId="20" fillId="0" borderId="10" xfId="0" applyNumberFormat="1" applyFont="1" applyFill="1" applyBorder="1" applyAlignment="1">
      <alignment vertical="center"/>
    </xf>
    <xf numFmtId="164" fontId="2" fillId="0" borderId="19" xfId="0" applyNumberFormat="1" applyFont="1" applyFill="1" applyBorder="1" applyAlignment="1">
      <alignment shrinkToFit="1"/>
    </xf>
    <xf numFmtId="164" fontId="2" fillId="3" borderId="6" xfId="0" applyNumberFormat="1" applyFont="1" applyFill="1" applyBorder="1"/>
    <xf numFmtId="0" fontId="23" fillId="0" borderId="0" xfId="0" applyFont="1" applyFill="1" applyAlignment="1">
      <alignment horizontal="left"/>
    </xf>
    <xf numFmtId="0" fontId="24" fillId="0" borderId="0" xfId="0" applyFont="1" applyFill="1" applyAlignment="1">
      <alignment horizontal="left"/>
    </xf>
    <xf numFmtId="0" fontId="6" fillId="2" borderId="0" xfId="0" applyFont="1" applyFill="1" applyAlignment="1"/>
    <xf numFmtId="0" fontId="39" fillId="3" borderId="58" xfId="4" applyFont="1" applyFill="1" applyBorder="1" applyAlignment="1">
      <alignment horizontal="center" vertical="center" wrapText="1"/>
    </xf>
    <xf numFmtId="0" fontId="39" fillId="3" borderId="145" xfId="4" applyFont="1" applyFill="1" applyBorder="1" applyAlignment="1">
      <alignment horizontal="center" vertical="center" wrapText="1"/>
    </xf>
    <xf numFmtId="0" fontId="39" fillId="3" borderId="127" xfId="4" applyFont="1" applyFill="1" applyBorder="1" applyAlignment="1">
      <alignment horizontal="center" vertical="center" wrapText="1"/>
    </xf>
    <xf numFmtId="3" fontId="19" fillId="6" borderId="21" xfId="4" applyNumberFormat="1" applyFont="1" applyFill="1" applyBorder="1"/>
    <xf numFmtId="3" fontId="19" fillId="6" borderId="19" xfId="4" applyNumberFormat="1" applyFont="1" applyFill="1" applyBorder="1"/>
    <xf numFmtId="3" fontId="2" fillId="6" borderId="58" xfId="4" applyNumberFormat="1" applyFont="1" applyFill="1" applyBorder="1"/>
    <xf numFmtId="0" fontId="7" fillId="5" borderId="63" xfId="4" applyFont="1" applyFill="1" applyBorder="1" applyAlignment="1">
      <alignment horizontal="left"/>
    </xf>
    <xf numFmtId="3" fontId="7" fillId="5" borderId="21" xfId="4" applyNumberFormat="1" applyFont="1" applyFill="1" applyBorder="1"/>
    <xf numFmtId="3" fontId="26" fillId="5" borderId="21" xfId="4" applyNumberFormat="1" applyFont="1" applyFill="1" applyBorder="1" applyAlignment="1">
      <alignment horizontal="left"/>
    </xf>
    <xf numFmtId="4" fontId="26" fillId="5" borderId="64" xfId="0" applyNumberFormat="1" applyFont="1" applyFill="1" applyBorder="1" applyAlignment="1">
      <alignment horizontal="left"/>
    </xf>
    <xf numFmtId="0" fontId="6" fillId="0" borderId="19" xfId="0" applyFont="1" applyFill="1" applyBorder="1"/>
    <xf numFmtId="0" fontId="6" fillId="0" borderId="19" xfId="0" applyFont="1" applyFill="1" applyBorder="1" applyAlignment="1">
      <alignment vertical="center" wrapText="1"/>
    </xf>
    <xf numFmtId="0" fontId="2" fillId="0" borderId="19" xfId="0" applyFont="1" applyFill="1" applyBorder="1"/>
    <xf numFmtId="0" fontId="7" fillId="3" borderId="19" xfId="0" applyFont="1" applyFill="1" applyBorder="1" applyAlignment="1">
      <alignment wrapText="1"/>
    </xf>
    <xf numFmtId="164" fontId="6" fillId="0" borderId="19" xfId="0" applyNumberFormat="1" applyFont="1" applyFill="1" applyBorder="1" applyAlignment="1">
      <alignment horizontal="right"/>
    </xf>
    <xf numFmtId="164" fontId="8" fillId="3" borderId="3" xfId="0" applyNumberFormat="1" applyFont="1" applyFill="1" applyBorder="1" applyAlignment="1">
      <alignment horizontal="center" vertical="center" wrapText="1"/>
    </xf>
    <xf numFmtId="169" fontId="6" fillId="0" borderId="44" xfId="0" applyNumberFormat="1" applyFont="1" applyFill="1" applyBorder="1" applyAlignment="1">
      <alignment horizontal="center" vertical="center"/>
    </xf>
    <xf numFmtId="0" fontId="6" fillId="0" borderId="147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wrapText="1"/>
    </xf>
    <xf numFmtId="164" fontId="6" fillId="0" borderId="45" xfId="0" applyNumberFormat="1" applyFont="1" applyFill="1" applyBorder="1" applyAlignment="1">
      <alignment horizontal="right" vertical="center"/>
    </xf>
    <xf numFmtId="164" fontId="6" fillId="2" borderId="45" xfId="0" applyNumberFormat="1" applyFont="1" applyFill="1" applyBorder="1" applyAlignment="1">
      <alignment horizontal="right" vertical="center"/>
    </xf>
    <xf numFmtId="0" fontId="6" fillId="0" borderId="143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wrapText="1"/>
    </xf>
    <xf numFmtId="0" fontId="6" fillId="0" borderId="143" xfId="0" applyFont="1" applyFill="1" applyBorder="1" applyAlignment="1">
      <alignment horizontal="center"/>
    </xf>
    <xf numFmtId="0" fontId="6" fillId="0" borderId="35" xfId="0" applyFont="1" applyFill="1" applyBorder="1" applyAlignment="1"/>
    <xf numFmtId="164" fontId="6" fillId="2" borderId="35" xfId="0" applyNumberFormat="1" applyFont="1" applyFill="1" applyBorder="1" applyAlignment="1">
      <alignment horizontal="right"/>
    </xf>
    <xf numFmtId="0" fontId="6" fillId="0" borderId="148" xfId="0" applyFont="1" applyFill="1" applyBorder="1" applyAlignment="1">
      <alignment horizontal="center"/>
    </xf>
    <xf numFmtId="164" fontId="6" fillId="0" borderId="6" xfId="0" applyNumberFormat="1" applyFont="1" applyFill="1" applyBorder="1" applyAlignment="1">
      <alignment vertical="center"/>
    </xf>
    <xf numFmtId="164" fontId="26" fillId="3" borderId="6" xfId="0" applyNumberFormat="1" applyFont="1" applyFill="1" applyBorder="1" applyAlignment="1"/>
    <xf numFmtId="164" fontId="26" fillId="3" borderId="3" xfId="0" applyNumberFormat="1" applyFont="1" applyFill="1" applyBorder="1" applyAlignment="1"/>
    <xf numFmtId="164" fontId="8" fillId="0" borderId="0" xfId="0" applyNumberFormat="1" applyFont="1" applyFill="1"/>
    <xf numFmtId="164" fontId="8" fillId="0" borderId="0" xfId="0" applyNumberFormat="1" applyFont="1" applyFill="1" applyAlignment="1">
      <alignment horizontal="right"/>
    </xf>
    <xf numFmtId="3" fontId="8" fillId="0" borderId="0" xfId="0" applyNumberFormat="1" applyFont="1" applyFill="1" applyAlignment="1">
      <alignment horizontal="right"/>
    </xf>
    <xf numFmtId="0" fontId="6" fillId="0" borderId="0" xfId="0" applyFont="1" applyFill="1" applyAlignment="1"/>
    <xf numFmtId="171" fontId="6" fillId="2" borderId="0" xfId="0" applyNumberFormat="1" applyFont="1" applyFill="1" applyAlignment="1"/>
    <xf numFmtId="164" fontId="6" fillId="0" borderId="0" xfId="0" applyNumberFormat="1" applyFont="1" applyFill="1" applyAlignment="1">
      <alignment vertical="center"/>
    </xf>
    <xf numFmtId="3" fontId="2" fillId="0" borderId="19" xfId="0" applyNumberFormat="1" applyFont="1" applyFill="1" applyBorder="1"/>
    <xf numFmtId="3" fontId="2" fillId="3" borderId="19" xfId="0" applyNumberFormat="1" applyFont="1" applyFill="1" applyBorder="1"/>
    <xf numFmtId="3" fontId="6" fillId="0" borderId="19" xfId="0" applyNumberFormat="1" applyFont="1" applyFill="1" applyBorder="1"/>
    <xf numFmtId="0" fontId="8" fillId="3" borderId="6" xfId="4" applyFont="1" applyFill="1" applyBorder="1" applyAlignment="1">
      <alignment horizontal="center"/>
    </xf>
    <xf numFmtId="3" fontId="36" fillId="2" borderId="61" xfId="4" applyNumberFormat="1" applyFont="1" applyFill="1" applyBorder="1"/>
    <xf numFmtId="3" fontId="52" fillId="2" borderId="35" xfId="4" applyNumberFormat="1" applyFont="1" applyFill="1" applyBorder="1"/>
    <xf numFmtId="3" fontId="52" fillId="2" borderId="21" xfId="4" applyNumberFormat="1" applyFont="1" applyFill="1" applyBorder="1"/>
    <xf numFmtId="0" fontId="26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6" fillId="2" borderId="23" xfId="0" applyFont="1" applyFill="1" applyBorder="1" applyAlignment="1">
      <alignment vertical="center"/>
    </xf>
    <xf numFmtId="0" fontId="26" fillId="2" borderId="28" xfId="0" applyFont="1" applyFill="1" applyBorder="1" applyAlignment="1">
      <alignment wrapText="1"/>
    </xf>
    <xf numFmtId="0" fontId="8" fillId="2" borderId="28" xfId="0" applyFont="1" applyFill="1" applyBorder="1" applyAlignment="1">
      <alignment horizontal="right"/>
    </xf>
    <xf numFmtId="0" fontId="6" fillId="2" borderId="28" xfId="0" applyFont="1" applyFill="1" applyBorder="1"/>
    <xf numFmtId="3" fontId="26" fillId="2" borderId="28" xfId="0" applyNumberFormat="1" applyFont="1" applyFill="1" applyBorder="1"/>
    <xf numFmtId="4" fontId="26" fillId="2" borderId="25" xfId="0" applyNumberFormat="1" applyFont="1" applyFill="1" applyBorder="1"/>
    <xf numFmtId="0" fontId="7" fillId="5" borderId="21" xfId="4" applyFont="1" applyFill="1" applyBorder="1" applyAlignment="1">
      <alignment horizontal="left"/>
    </xf>
    <xf numFmtId="0" fontId="8" fillId="5" borderId="21" xfId="4" applyFont="1" applyFill="1" applyBorder="1"/>
    <xf numFmtId="0" fontId="8" fillId="3" borderId="76" xfId="4" applyFont="1" applyFill="1" applyBorder="1" applyAlignment="1"/>
    <xf numFmtId="0" fontId="8" fillId="2" borderId="0" xfId="0" applyFont="1" applyFill="1" applyBorder="1" applyAlignment="1">
      <alignment wrapText="1"/>
    </xf>
    <xf numFmtId="0" fontId="8" fillId="3" borderId="58" xfId="4" applyFont="1" applyFill="1" applyBorder="1" applyAlignment="1"/>
    <xf numFmtId="3" fontId="7" fillId="3" borderId="132" xfId="4" applyNumberFormat="1" applyFont="1" applyFill="1" applyBorder="1" applyAlignment="1">
      <alignment vertical="center"/>
    </xf>
    <xf numFmtId="3" fontId="6" fillId="0" borderId="150" xfId="4" applyNumberFormat="1" applyFont="1" applyBorder="1"/>
    <xf numFmtId="3" fontId="6" fillId="0" borderId="149" xfId="4" applyNumberFormat="1" applyFont="1" applyBorder="1"/>
    <xf numFmtId="49" fontId="28" fillId="0" borderId="91" xfId="4" applyNumberFormat="1" applyFont="1" applyBorder="1" applyAlignment="1">
      <alignment wrapText="1"/>
    </xf>
    <xf numFmtId="0" fontId="6" fillId="0" borderId="91" xfId="4" applyFont="1" applyBorder="1" applyAlignment="1">
      <alignment wrapText="1"/>
    </xf>
    <xf numFmtId="3" fontId="2" fillId="0" borderId="127" xfId="4" applyNumberFormat="1" applyFont="1" applyBorder="1"/>
    <xf numFmtId="0" fontId="24" fillId="0" borderId="0" xfId="0" applyFont="1" applyFill="1" applyAlignment="1">
      <alignment horizontal="left"/>
    </xf>
    <xf numFmtId="0" fontId="7" fillId="3" borderId="58" xfId="4" applyFont="1" applyFill="1" applyBorder="1" applyAlignment="1">
      <alignment horizontal="left"/>
    </xf>
    <xf numFmtId="0" fontId="8" fillId="0" borderId="0" xfId="4" applyFont="1" applyAlignment="1">
      <alignment horizontal="right"/>
    </xf>
    <xf numFmtId="164" fontId="10" fillId="2" borderId="15" xfId="0" applyNumberFormat="1" applyFont="1" applyFill="1" applyBorder="1"/>
    <xf numFmtId="164" fontId="13" fillId="0" borderId="15" xfId="0" applyNumberFormat="1" applyFont="1" applyFill="1" applyBorder="1" applyAlignment="1">
      <alignment horizontal="justify" vertical="center"/>
    </xf>
    <xf numFmtId="164" fontId="13" fillId="0" borderId="15" xfId="0" applyNumberFormat="1" applyFont="1" applyFill="1" applyBorder="1" applyAlignment="1">
      <alignment horizontal="left" vertical="center"/>
    </xf>
    <xf numFmtId="164" fontId="49" fillId="2" borderId="35" xfId="0" applyNumberFormat="1" applyFont="1" applyFill="1" applyBorder="1" applyAlignment="1">
      <alignment horizontal="left" vertical="center"/>
    </xf>
    <xf numFmtId="164" fontId="13" fillId="2" borderId="35" xfId="0" applyNumberFormat="1" applyFont="1" applyFill="1" applyBorder="1" applyAlignment="1">
      <alignment horizontal="left" vertical="center"/>
    </xf>
    <xf numFmtId="164" fontId="13" fillId="2" borderId="35" xfId="0" applyNumberFormat="1" applyFont="1" applyFill="1" applyBorder="1" applyAlignment="1">
      <alignment horizontal="center" vertical="center"/>
    </xf>
    <xf numFmtId="164" fontId="20" fillId="2" borderId="36" xfId="0" applyNumberFormat="1" applyFont="1" applyFill="1" applyBorder="1" applyAlignment="1">
      <alignment horizontal="left" vertical="center"/>
    </xf>
    <xf numFmtId="0" fontId="13" fillId="0" borderId="27" xfId="0" applyFont="1" applyFill="1" applyBorder="1" applyAlignment="1"/>
    <xf numFmtId="164" fontId="6" fillId="0" borderId="26" xfId="0" applyNumberFormat="1" applyFont="1" applyFill="1" applyBorder="1"/>
    <xf numFmtId="164" fontId="6" fillId="0" borderId="36" xfId="0" applyNumberFormat="1" applyFont="1" applyFill="1" applyBorder="1"/>
    <xf numFmtId="164" fontId="6" fillId="2" borderId="41" xfId="0" applyNumberFormat="1" applyFont="1" applyFill="1" applyBorder="1"/>
    <xf numFmtId="3" fontId="6" fillId="4" borderId="0" xfId="0" applyNumberFormat="1" applyFont="1" applyFill="1"/>
    <xf numFmtId="0" fontId="14" fillId="0" borderId="0" xfId="0" applyFont="1" applyFill="1" applyAlignment="1">
      <alignment horizontal="center"/>
    </xf>
    <xf numFmtId="0" fontId="19" fillId="0" borderId="0" xfId="0" applyFont="1" applyFill="1"/>
    <xf numFmtId="4" fontId="6" fillId="0" borderId="22" xfId="0" applyNumberFormat="1" applyFont="1" applyFill="1" applyBorder="1" applyAlignment="1">
      <alignment shrinkToFit="1"/>
    </xf>
    <xf numFmtId="0" fontId="53" fillId="0" borderId="0" xfId="0" applyFont="1" applyBorder="1" applyAlignment="1">
      <alignment horizontal="left"/>
    </xf>
    <xf numFmtId="3" fontId="26" fillId="2" borderId="66" xfId="0" applyNumberFormat="1" applyFont="1" applyFill="1" applyBorder="1" applyAlignment="1">
      <alignment horizontal="right"/>
    </xf>
    <xf numFmtId="0" fontId="8" fillId="2" borderId="19" xfId="0" applyFont="1" applyFill="1" applyBorder="1" applyAlignment="1">
      <alignment wrapText="1"/>
    </xf>
    <xf numFmtId="0" fontId="26" fillId="2" borderId="70" xfId="0" applyFont="1" applyFill="1" applyBorder="1" applyAlignment="1">
      <alignment wrapText="1"/>
    </xf>
    <xf numFmtId="0" fontId="26" fillId="2" borderId="70" xfId="0" applyFont="1" applyFill="1" applyBorder="1"/>
    <xf numFmtId="3" fontId="26" fillId="2" borderId="70" xfId="0" applyNumberFormat="1" applyFont="1" applyFill="1" applyBorder="1"/>
    <xf numFmtId="0" fontId="7" fillId="5" borderId="66" xfId="4" applyFont="1" applyFill="1" applyBorder="1" applyAlignment="1">
      <alignment horizontal="left"/>
    </xf>
    <xf numFmtId="0" fontId="8" fillId="5" borderId="66" xfId="4" applyFont="1" applyFill="1" applyBorder="1"/>
    <xf numFmtId="0" fontId="6" fillId="2" borderId="17" xfId="0" applyFont="1" applyFill="1" applyBorder="1" applyAlignment="1"/>
    <xf numFmtId="0" fontId="6" fillId="2" borderId="19" xfId="0" applyFont="1" applyFill="1" applyBorder="1" applyAlignment="1"/>
    <xf numFmtId="3" fontId="26" fillId="2" borderId="19" xfId="0" applyNumberFormat="1" applyFont="1" applyFill="1" applyBorder="1" applyAlignment="1"/>
    <xf numFmtId="4" fontId="26" fillId="2" borderId="20" xfId="0" applyNumberFormat="1" applyFont="1" applyFill="1" applyBorder="1" applyAlignment="1"/>
    <xf numFmtId="0" fontId="26" fillId="2" borderId="19" xfId="0" applyNumberFormat="1" applyFont="1" applyFill="1" applyBorder="1" applyAlignment="1">
      <alignment wrapText="1"/>
    </xf>
    <xf numFmtId="0" fontId="26" fillId="4" borderId="19" xfId="0" applyNumberFormat="1" applyFont="1" applyFill="1" applyBorder="1"/>
    <xf numFmtId="0" fontId="26" fillId="2" borderId="61" xfId="0" applyNumberFormat="1" applyFont="1" applyFill="1" applyBorder="1" applyAlignment="1">
      <alignment wrapText="1"/>
    </xf>
    <xf numFmtId="0" fontId="8" fillId="2" borderId="61" xfId="0" applyNumberFormat="1" applyFont="1" applyFill="1" applyBorder="1"/>
    <xf numFmtId="0" fontId="26" fillId="2" borderId="61" xfId="0" applyNumberFormat="1" applyFont="1" applyFill="1" applyBorder="1"/>
    <xf numFmtId="2" fontId="26" fillId="2" borderId="62" xfId="0" applyNumberFormat="1" applyFont="1" applyFill="1" applyBorder="1"/>
    <xf numFmtId="0" fontId="7" fillId="3" borderId="141" xfId="0" applyFont="1" applyFill="1" applyBorder="1" applyAlignment="1">
      <alignment horizontal="left"/>
    </xf>
    <xf numFmtId="3" fontId="3" fillId="2" borderId="0" xfId="4" applyNumberFormat="1" applyFont="1" applyFill="1"/>
    <xf numFmtId="0" fontId="26" fillId="0" borderId="0" xfId="0" applyFont="1" applyBorder="1" applyAlignment="1"/>
    <xf numFmtId="0" fontId="6" fillId="0" borderId="0" xfId="0" applyFont="1" applyBorder="1" applyAlignment="1"/>
    <xf numFmtId="0" fontId="8" fillId="0" borderId="68" xfId="0" applyNumberFormat="1" applyFont="1" applyBorder="1"/>
    <xf numFmtId="0" fontId="7" fillId="3" borderId="88" xfId="4" applyFont="1" applyFill="1" applyBorder="1" applyAlignment="1">
      <alignment horizontal="center" vertical="center" shrinkToFit="1"/>
    </xf>
    <xf numFmtId="0" fontId="8" fillId="0" borderId="114" xfId="4" applyFont="1" applyBorder="1"/>
    <xf numFmtId="0" fontId="8" fillId="0" borderId="96" xfId="4" applyFont="1" applyBorder="1"/>
    <xf numFmtId="0" fontId="8" fillId="0" borderId="103" xfId="4" applyFont="1" applyBorder="1"/>
    <xf numFmtId="49" fontId="6" fillId="0" borderId="152" xfId="4" applyNumberFormat="1" applyFont="1" applyBorder="1" applyAlignment="1">
      <alignment horizontal="center" wrapText="1"/>
    </xf>
    <xf numFmtId="49" fontId="6" fillId="0" borderId="91" xfId="4" applyNumberFormat="1" applyFont="1" applyBorder="1" applyAlignment="1">
      <alignment vertical="center"/>
    </xf>
    <xf numFmtId="49" fontId="6" fillId="0" borderId="91" xfId="4" applyNumberFormat="1" applyFont="1" applyBorder="1" applyAlignment="1">
      <alignment vertical="center" wrapText="1"/>
    </xf>
    <xf numFmtId="0" fontId="6" fillId="0" borderId="91" xfId="4" applyFont="1" applyBorder="1"/>
    <xf numFmtId="0" fontId="29" fillId="0" borderId="114" xfId="4" applyFont="1" applyBorder="1"/>
    <xf numFmtId="3" fontId="10" fillId="0" borderId="94" xfId="4" applyNumberFormat="1" applyFont="1" applyBorder="1"/>
    <xf numFmtId="0" fontId="10" fillId="2" borderId="0" xfId="4" applyFont="1" applyFill="1" applyBorder="1"/>
    <xf numFmtId="49" fontId="6" fillId="0" borderId="153" xfId="4" applyNumberFormat="1" applyFont="1" applyBorder="1" applyAlignment="1">
      <alignment horizontal="left" vertical="center" wrapText="1"/>
    </xf>
    <xf numFmtId="49" fontId="6" fillId="0" borderId="153" xfId="4" applyNumberFormat="1" applyFont="1" applyBorder="1" applyAlignment="1">
      <alignment horizontal="center"/>
    </xf>
    <xf numFmtId="49" fontId="4" fillId="0" borderId="153" xfId="4" applyNumberFormat="1" applyFont="1" applyBorder="1" applyAlignment="1">
      <alignment horizontal="center"/>
    </xf>
    <xf numFmtId="3" fontId="10" fillId="2" borderId="0" xfId="4" applyNumberFormat="1" applyFont="1" applyFill="1" applyBorder="1"/>
    <xf numFmtId="0" fontId="10" fillId="2" borderId="0" xfId="4" applyFont="1" applyFill="1"/>
    <xf numFmtId="49" fontId="6" fillId="0" borderId="96" xfId="4" applyNumberFormat="1" applyFont="1" applyBorder="1" applyAlignment="1">
      <alignment horizontal="left" vertical="center" wrapText="1"/>
    </xf>
    <xf numFmtId="49" fontId="6" fillId="0" borderId="96" xfId="4" applyNumberFormat="1" applyFont="1" applyBorder="1" applyAlignment="1">
      <alignment horizontal="center"/>
    </xf>
    <xf numFmtId="49" fontId="4" fillId="2" borderId="96" xfId="4" applyNumberFormat="1" applyFont="1" applyFill="1" applyBorder="1" applyAlignment="1">
      <alignment horizontal="center"/>
    </xf>
    <xf numFmtId="49" fontId="2" fillId="3" borderId="127" xfId="4" applyNumberFormat="1" applyFont="1" applyFill="1" applyBorder="1" applyAlignment="1">
      <alignment vertical="center"/>
    </xf>
    <xf numFmtId="49" fontId="2" fillId="3" borderId="127" xfId="4" applyNumberFormat="1" applyFont="1" applyFill="1" applyBorder="1" applyAlignment="1">
      <alignment horizontal="center" vertical="center"/>
    </xf>
    <xf numFmtId="49" fontId="4" fillId="3" borderId="127" xfId="4" applyNumberFormat="1" applyFont="1" applyFill="1" applyBorder="1" applyAlignment="1">
      <alignment horizontal="center" vertical="center"/>
    </xf>
    <xf numFmtId="3" fontId="2" fillId="3" borderId="123" xfId="4" applyNumberFormat="1" applyFont="1" applyFill="1" applyBorder="1" applyAlignment="1">
      <alignment vertical="center"/>
    </xf>
    <xf numFmtId="0" fontId="29" fillId="0" borderId="154" xfId="4" applyFont="1" applyBorder="1"/>
    <xf numFmtId="0" fontId="29" fillId="0" borderId="155" xfId="4" applyFont="1" applyBorder="1" applyAlignment="1">
      <alignment horizontal="center"/>
    </xf>
    <xf numFmtId="0" fontId="29" fillId="0" borderId="156" xfId="4" applyFont="1" applyBorder="1" applyAlignment="1">
      <alignment horizontal="center"/>
    </xf>
    <xf numFmtId="3" fontId="29" fillId="0" borderId="157" xfId="4" applyNumberFormat="1" applyFont="1" applyBorder="1" applyAlignment="1">
      <alignment horizontal="right"/>
    </xf>
    <xf numFmtId="0" fontId="29" fillId="0" borderId="158" xfId="4" applyFont="1" applyBorder="1"/>
    <xf numFmtId="0" fontId="29" fillId="0" borderId="159" xfId="4" applyFont="1" applyBorder="1"/>
    <xf numFmtId="3" fontId="8" fillId="0" borderId="157" xfId="4" applyNumberFormat="1" applyFont="1" applyFill="1" applyBorder="1"/>
    <xf numFmtId="0" fontId="29" fillId="0" borderId="160" xfId="4" applyFont="1" applyFill="1" applyBorder="1"/>
    <xf numFmtId="0" fontId="29" fillId="0" borderId="159" xfId="4" applyFont="1" applyFill="1" applyBorder="1"/>
    <xf numFmtId="49" fontId="17" fillId="3" borderId="117" xfId="4" applyNumberFormat="1" applyFont="1" applyFill="1" applyBorder="1"/>
    <xf numFmtId="49" fontId="17" fillId="3" borderId="123" xfId="4" applyNumberFormat="1" applyFont="1" applyFill="1" applyBorder="1" applyAlignment="1">
      <alignment horizontal="center"/>
    </xf>
    <xf numFmtId="49" fontId="54" fillId="3" borderId="122" xfId="4" applyNumberFormat="1" applyFont="1" applyFill="1" applyBorder="1" applyAlignment="1">
      <alignment horizontal="center"/>
    </xf>
    <xf numFmtId="3" fontId="17" fillId="3" borderId="123" xfId="4" applyNumberFormat="1" applyFont="1" applyFill="1" applyBorder="1"/>
    <xf numFmtId="3" fontId="17" fillId="3" borderId="120" xfId="4" applyNumberFormat="1" applyFont="1" applyFill="1" applyBorder="1"/>
    <xf numFmtId="3" fontId="17" fillId="3" borderId="119" xfId="4" applyNumberFormat="1" applyFont="1" applyFill="1" applyBorder="1"/>
    <xf numFmtId="3" fontId="2" fillId="3" borderId="121" xfId="4" applyNumberFormat="1" applyFont="1" applyFill="1" applyBorder="1"/>
    <xf numFmtId="3" fontId="17" fillId="3" borderId="124" xfId="4" applyNumberFormat="1" applyFont="1" applyFill="1" applyBorder="1"/>
    <xf numFmtId="10" fontId="17" fillId="3" borderId="121" xfId="4" applyNumberFormat="1" applyFont="1" applyFill="1" applyBorder="1"/>
    <xf numFmtId="3" fontId="8" fillId="0" borderId="0" xfId="4" applyNumberFormat="1" applyFont="1" applyFill="1"/>
    <xf numFmtId="0" fontId="4" fillId="3" borderId="161" xfId="4" applyFont="1" applyFill="1" applyBorder="1" applyAlignment="1">
      <alignment horizontal="center"/>
    </xf>
    <xf numFmtId="0" fontId="4" fillId="3" borderId="153" xfId="4" applyFont="1" applyFill="1" applyBorder="1" applyAlignment="1">
      <alignment horizontal="center"/>
    </xf>
    <xf numFmtId="49" fontId="4" fillId="3" borderId="96" xfId="4" applyNumberFormat="1" applyFont="1" applyFill="1" applyBorder="1" applyAlignment="1">
      <alignment horizontal="center" vertical="center"/>
    </xf>
    <xf numFmtId="49" fontId="4" fillId="3" borderId="100" xfId="4" applyNumberFormat="1" applyFont="1" applyFill="1" applyBorder="1" applyAlignment="1">
      <alignment horizontal="center" vertical="center"/>
    </xf>
    <xf numFmtId="0" fontId="5" fillId="3" borderId="164" xfId="4" applyFont="1" applyFill="1" applyBorder="1" applyAlignment="1">
      <alignment horizontal="center"/>
    </xf>
    <xf numFmtId="0" fontId="5" fillId="3" borderId="105" xfId="4" applyFont="1" applyFill="1" applyBorder="1" applyAlignment="1">
      <alignment horizontal="center"/>
    </xf>
    <xf numFmtId="0" fontId="8" fillId="3" borderId="108" xfId="4" applyFont="1" applyFill="1" applyBorder="1" applyAlignment="1">
      <alignment horizontal="center"/>
    </xf>
    <xf numFmtId="49" fontId="7" fillId="3" borderId="165" xfId="4" applyNumberFormat="1" applyFont="1" applyFill="1" applyBorder="1" applyAlignment="1">
      <alignment vertical="center"/>
    </xf>
    <xf numFmtId="49" fontId="7" fillId="3" borderId="126" xfId="4" applyNumberFormat="1" applyFont="1" applyFill="1" applyBorder="1" applyAlignment="1">
      <alignment horizontal="center" vertical="center"/>
    </xf>
    <xf numFmtId="49" fontId="4" fillId="3" borderId="88" xfId="4" applyNumberFormat="1" applyFont="1" applyFill="1" applyBorder="1" applyAlignment="1">
      <alignment horizontal="center" vertical="center"/>
    </xf>
    <xf numFmtId="49" fontId="6" fillId="0" borderId="94" xfId="4" applyNumberFormat="1" applyFont="1" applyBorder="1"/>
    <xf numFmtId="49" fontId="4" fillId="0" borderId="96" xfId="4" applyNumberFormat="1" applyFont="1" applyBorder="1" applyAlignment="1">
      <alignment horizontal="center"/>
    </xf>
    <xf numFmtId="49" fontId="6" fillId="0" borderId="94" xfId="4" applyNumberFormat="1" applyFont="1" applyBorder="1" applyAlignment="1">
      <alignment wrapText="1"/>
    </xf>
    <xf numFmtId="49" fontId="6" fillId="0" borderId="96" xfId="4" applyNumberFormat="1" applyFont="1" applyBorder="1" applyAlignment="1">
      <alignment horizontal="center" wrapText="1"/>
    </xf>
    <xf numFmtId="49" fontId="4" fillId="0" borderId="96" xfId="4" applyNumberFormat="1" applyFont="1" applyBorder="1" applyAlignment="1">
      <alignment horizontal="center" wrapText="1"/>
    </xf>
    <xf numFmtId="49" fontId="6" fillId="0" borderId="94" xfId="4" applyNumberFormat="1" applyFont="1" applyBorder="1" applyAlignment="1">
      <alignment vertical="center"/>
    </xf>
    <xf numFmtId="49" fontId="6" fillId="0" borderId="94" xfId="4" applyNumberFormat="1" applyFont="1" applyBorder="1" applyAlignment="1">
      <alignment vertical="center" wrapText="1"/>
    </xf>
    <xf numFmtId="0" fontId="6" fillId="0" borderId="94" xfId="4" applyFont="1" applyBorder="1"/>
    <xf numFmtId="49" fontId="8" fillId="0" borderId="94" xfId="4" applyNumberFormat="1" applyFont="1" applyBorder="1"/>
    <xf numFmtId="49" fontId="8" fillId="0" borderId="96" xfId="4" applyNumberFormat="1" applyFont="1" applyBorder="1" applyAlignment="1">
      <alignment horizontal="center"/>
    </xf>
    <xf numFmtId="49" fontId="7" fillId="3" borderId="89" xfId="4" applyNumberFormat="1" applyFont="1" applyFill="1" applyBorder="1" applyAlignment="1">
      <alignment vertical="center"/>
    </xf>
    <xf numFmtId="49" fontId="7" fillId="3" borderId="88" xfId="4" applyNumberFormat="1" applyFont="1" applyFill="1" applyBorder="1" applyAlignment="1">
      <alignment horizontal="center" vertical="center"/>
    </xf>
    <xf numFmtId="49" fontId="7" fillId="3" borderId="132" xfId="4" applyNumberFormat="1" applyFont="1" applyFill="1" applyBorder="1" applyAlignment="1">
      <alignment vertical="center"/>
    </xf>
    <xf numFmtId="49" fontId="7" fillId="3" borderId="127" xfId="4" applyNumberFormat="1" applyFont="1" applyFill="1" applyBorder="1" applyAlignment="1">
      <alignment horizontal="center" vertical="center"/>
    </xf>
    <xf numFmtId="49" fontId="4" fillId="3" borderId="127" xfId="4" applyNumberFormat="1" applyFont="1" applyFill="1" applyBorder="1" applyAlignment="1">
      <alignment horizontal="center" vertical="center" wrapText="1"/>
    </xf>
    <xf numFmtId="0" fontId="8" fillId="0" borderId="154" xfId="4" applyFont="1" applyBorder="1"/>
    <xf numFmtId="0" fontId="8" fillId="0" borderId="155" xfId="4" applyFont="1" applyBorder="1" applyAlignment="1">
      <alignment horizontal="center"/>
    </xf>
    <xf numFmtId="0" fontId="8" fillId="0" borderId="156" xfId="4" applyFont="1" applyBorder="1" applyAlignment="1">
      <alignment horizontal="center"/>
    </xf>
    <xf numFmtId="3" fontId="8" fillId="0" borderId="157" xfId="4" applyNumberFormat="1" applyFont="1" applyBorder="1" applyAlignment="1">
      <alignment horizontal="right"/>
    </xf>
    <xf numFmtId="0" fontId="8" fillId="0" borderId="155" xfId="4" applyFont="1" applyBorder="1"/>
    <xf numFmtId="0" fontId="8" fillId="0" borderId="158" xfId="4" applyFont="1" applyBorder="1"/>
    <xf numFmtId="0" fontId="8" fillId="0" borderId="159" xfId="4" applyFont="1" applyBorder="1"/>
    <xf numFmtId="0" fontId="8" fillId="0" borderId="166" xfId="4" applyFont="1" applyFill="1" applyBorder="1"/>
    <xf numFmtId="0" fontId="8" fillId="0" borderId="159" xfId="4" applyFont="1" applyFill="1" applyBorder="1"/>
    <xf numFmtId="49" fontId="2" fillId="3" borderId="117" xfId="4" applyNumberFormat="1" applyFont="1" applyFill="1" applyBorder="1"/>
    <xf numFmtId="49" fontId="2" fillId="3" borderId="123" xfId="4" applyNumberFormat="1" applyFont="1" applyFill="1" applyBorder="1" applyAlignment="1">
      <alignment horizontal="center"/>
    </xf>
    <xf numFmtId="49" fontId="4" fillId="3" borderId="122" xfId="4" applyNumberFormat="1" applyFont="1" applyFill="1" applyBorder="1" applyAlignment="1">
      <alignment horizontal="center"/>
    </xf>
    <xf numFmtId="3" fontId="2" fillId="3" borderId="130" xfId="4" applyNumberFormat="1" applyFont="1" applyFill="1" applyBorder="1"/>
    <xf numFmtId="3" fontId="2" fillId="3" borderId="120" xfId="4" applyNumberFormat="1" applyFont="1" applyFill="1" applyBorder="1"/>
    <xf numFmtId="3" fontId="2" fillId="3" borderId="119" xfId="4" applyNumberFormat="1" applyFont="1" applyFill="1" applyBorder="1"/>
    <xf numFmtId="3" fontId="2" fillId="3" borderId="123" xfId="4" applyNumberFormat="1" applyFont="1" applyFill="1" applyBorder="1"/>
    <xf numFmtId="3" fontId="2" fillId="3" borderId="118" xfId="4" applyNumberFormat="1" applyFont="1" applyFill="1" applyBorder="1"/>
    <xf numFmtId="10" fontId="2" fillId="3" borderId="121" xfId="4" applyNumberFormat="1" applyFont="1" applyFill="1" applyBorder="1"/>
    <xf numFmtId="0" fontId="6" fillId="0" borderId="0" xfId="0" applyFont="1" applyAlignment="1">
      <alignment horizontal="left"/>
    </xf>
    <xf numFmtId="0" fontId="6" fillId="2" borderId="44" xfId="0" applyFont="1" applyFill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3" fontId="6" fillId="0" borderId="45" xfId="0" applyNumberFormat="1" applyFont="1" applyBorder="1" applyAlignment="1">
      <alignment horizontal="left" vertical="center" wrapText="1"/>
    </xf>
    <xf numFmtId="4" fontId="6" fillId="0" borderId="46" xfId="0" applyNumberFormat="1" applyFont="1" applyBorder="1" applyAlignment="1">
      <alignment vertical="center"/>
    </xf>
    <xf numFmtId="0" fontId="29" fillId="0" borderId="18" xfId="4" applyFont="1" applyBorder="1"/>
    <xf numFmtId="0" fontId="29" fillId="0" borderId="19" xfId="4" applyFont="1" applyBorder="1"/>
    <xf numFmtId="3" fontId="29" fillId="0" borderId="18" xfId="4" applyNumberFormat="1" applyFont="1" applyBorder="1"/>
    <xf numFmtId="3" fontId="29" fillId="0" borderId="19" xfId="4" applyNumberFormat="1" applyFont="1" applyBorder="1"/>
    <xf numFmtId="3" fontId="2" fillId="0" borderId="0" xfId="4" applyNumberFormat="1" applyFont="1"/>
    <xf numFmtId="0" fontId="8" fillId="2" borderId="0" xfId="4" applyFill="1" applyBorder="1"/>
    <xf numFmtId="4" fontId="8" fillId="0" borderId="0" xfId="4" applyNumberFormat="1"/>
    <xf numFmtId="3" fontId="10" fillId="2" borderId="6" xfId="0" applyNumberFormat="1" applyFont="1" applyFill="1" applyBorder="1"/>
    <xf numFmtId="1" fontId="10" fillId="2" borderId="0" xfId="3" applyNumberFormat="1" applyFont="1" applyFill="1" applyBorder="1" applyAlignment="1">
      <alignment horizontal="left"/>
    </xf>
    <xf numFmtId="3" fontId="6" fillId="2" borderId="21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/>
    <xf numFmtId="164" fontId="6" fillId="0" borderId="167" xfId="0" applyNumberFormat="1" applyFont="1" applyFill="1" applyBorder="1" applyAlignment="1">
      <alignment horizontal="right"/>
    </xf>
    <xf numFmtId="3" fontId="8" fillId="0" borderId="18" xfId="4" applyNumberFormat="1" applyBorder="1"/>
    <xf numFmtId="0" fontId="8" fillId="0" borderId="19" xfId="4" applyBorder="1"/>
    <xf numFmtId="0" fontId="8" fillId="0" borderId="18" xfId="4" applyBorder="1"/>
    <xf numFmtId="3" fontId="8" fillId="4" borderId="18" xfId="4" applyNumberFormat="1" applyFill="1" applyBorder="1"/>
    <xf numFmtId="0" fontId="55" fillId="0" borderId="19" xfId="4" applyFont="1" applyBorder="1"/>
    <xf numFmtId="0" fontId="51" fillId="0" borderId="38" xfId="0" applyFont="1" applyFill="1" applyBorder="1" applyAlignment="1">
      <alignment horizontal="center"/>
    </xf>
    <xf numFmtId="164" fontId="51" fillId="0" borderId="10" xfId="0" applyNumberFormat="1" applyFont="1" applyFill="1" applyBorder="1"/>
    <xf numFmtId="3" fontId="56" fillId="0" borderId="0" xfId="0" applyNumberFormat="1" applyFont="1" applyFill="1"/>
    <xf numFmtId="0" fontId="20" fillId="0" borderId="10" xfId="0" applyFont="1" applyFill="1" applyBorder="1"/>
    <xf numFmtId="3" fontId="20" fillId="2" borderId="10" xfId="0" applyNumberFormat="1" applyFont="1" applyFill="1" applyBorder="1"/>
    <xf numFmtId="0" fontId="51" fillId="2" borderId="37" xfId="0" applyFont="1" applyFill="1" applyBorder="1" applyAlignment="1">
      <alignment horizontal="center"/>
    </xf>
    <xf numFmtId="0" fontId="20" fillId="2" borderId="10" xfId="0" applyFont="1" applyFill="1" applyBorder="1"/>
    <xf numFmtId="3" fontId="51" fillId="2" borderId="10" xfId="0" applyNumberFormat="1" applyFont="1" applyFill="1" applyBorder="1"/>
    <xf numFmtId="3" fontId="56" fillId="2" borderId="0" xfId="0" applyNumberFormat="1" applyFont="1" applyFill="1"/>
    <xf numFmtId="0" fontId="51" fillId="0" borderId="37" xfId="0" applyFont="1" applyFill="1" applyBorder="1" applyAlignment="1">
      <alignment horizontal="center"/>
    </xf>
    <xf numFmtId="3" fontId="51" fillId="2" borderId="15" xfId="0" applyNumberFormat="1" applyFont="1" applyFill="1" applyBorder="1"/>
    <xf numFmtId="3" fontId="20" fillId="2" borderId="15" xfId="0" applyNumberFormat="1" applyFont="1" applyFill="1" applyBorder="1" applyAlignment="1">
      <alignment horizontal="left"/>
    </xf>
    <xf numFmtId="0" fontId="56" fillId="0" borderId="0" xfId="0" applyFont="1" applyFill="1"/>
    <xf numFmtId="3" fontId="20" fillId="2" borderId="15" xfId="0" applyNumberFormat="1" applyFont="1" applyFill="1" applyBorder="1" applyAlignment="1">
      <alignment horizontal="right"/>
    </xf>
    <xf numFmtId="3" fontId="51" fillId="2" borderId="15" xfId="0" applyNumberFormat="1" applyFont="1" applyFill="1" applyBorder="1" applyAlignment="1">
      <alignment vertical="center"/>
    </xf>
    <xf numFmtId="3" fontId="56" fillId="0" borderId="0" xfId="0" applyNumberFormat="1" applyFont="1" applyFill="1" applyAlignment="1">
      <alignment vertical="center"/>
    </xf>
    <xf numFmtId="0" fontId="56" fillId="0" borderId="0" xfId="0" applyFont="1" applyFill="1" applyAlignment="1">
      <alignment vertical="center"/>
    </xf>
    <xf numFmtId="0" fontId="7" fillId="2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0" fontId="11" fillId="2" borderId="0" xfId="0" applyFont="1" applyFill="1" applyAlignment="1">
      <alignment horizontal="left" vertical="center" wrapText="1"/>
    </xf>
    <xf numFmtId="0" fontId="8" fillId="2" borderId="0" xfId="0" applyFont="1" applyFill="1" applyAlignment="1"/>
    <xf numFmtId="0" fontId="8" fillId="2" borderId="0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3" fontId="6" fillId="2" borderId="36" xfId="0" applyNumberFormat="1" applyFont="1" applyFill="1" applyBorder="1" applyAlignment="1">
      <alignment horizontal="center" vertical="center"/>
    </xf>
    <xf numFmtId="3" fontId="6" fillId="2" borderId="35" xfId="0" applyNumberFormat="1" applyFont="1" applyFill="1" applyBorder="1" applyAlignment="1">
      <alignment horizontal="center" vertical="center"/>
    </xf>
    <xf numFmtId="3" fontId="6" fillId="2" borderId="21" xfId="0" applyNumberFormat="1" applyFont="1" applyFill="1" applyBorder="1" applyAlignment="1">
      <alignment horizontal="center" vertical="center"/>
    </xf>
    <xf numFmtId="0" fontId="36" fillId="4" borderId="51" xfId="0" applyFont="1" applyFill="1" applyBorder="1" applyAlignment="1">
      <alignment horizontal="justify" wrapText="1"/>
    </xf>
    <xf numFmtId="0" fontId="36" fillId="4" borderId="0" xfId="0" applyFont="1" applyFill="1" applyBorder="1" applyAlignment="1">
      <alignment horizontal="justify" wrapText="1"/>
    </xf>
    <xf numFmtId="1" fontId="31" fillId="0" borderId="51" xfId="0" applyNumberFormat="1" applyFont="1" applyFill="1" applyBorder="1" applyAlignment="1">
      <alignment horizontal="left" wrapText="1"/>
    </xf>
    <xf numFmtId="0" fontId="32" fillId="0" borderId="0" xfId="0" applyFont="1" applyFill="1" applyAlignment="1">
      <alignment horizontal="left" vertical="center" wrapText="1"/>
    </xf>
    <xf numFmtId="0" fontId="23" fillId="0" borderId="0" xfId="0" applyFont="1" applyFill="1" applyAlignment="1">
      <alignment horizontal="left"/>
    </xf>
    <xf numFmtId="0" fontId="24" fillId="0" borderId="0" xfId="0" applyFont="1" applyFill="1" applyAlignment="1">
      <alignment horizontal="left"/>
    </xf>
    <xf numFmtId="0" fontId="2" fillId="3" borderId="1" xfId="0" applyFont="1" applyFill="1" applyBorder="1" applyAlignment="1"/>
    <xf numFmtId="0" fontId="2" fillId="3" borderId="3" xfId="0" applyFont="1" applyFill="1" applyBorder="1" applyAlignment="1"/>
    <xf numFmtId="0" fontId="30" fillId="0" borderId="7" xfId="0" applyFont="1" applyFill="1" applyBorder="1" applyAlignment="1">
      <alignment horizontal="left" wrapText="1"/>
    </xf>
    <xf numFmtId="0" fontId="1" fillId="3" borderId="42" xfId="0" applyFont="1" applyFill="1" applyBorder="1" applyAlignment="1">
      <alignment shrinkToFit="1"/>
    </xf>
    <xf numFmtId="0" fontId="7" fillId="3" borderId="1" xfId="4" applyFont="1" applyFill="1" applyBorder="1" applyAlignment="1">
      <alignment horizontal="left"/>
    </xf>
    <xf numFmtId="0" fontId="7" fillId="3" borderId="3" xfId="4" applyFont="1" applyFill="1" applyBorder="1" applyAlignment="1">
      <alignment horizontal="left"/>
    </xf>
    <xf numFmtId="0" fontId="35" fillId="0" borderId="0" xfId="0" applyFont="1" applyBorder="1" applyAlignment="1">
      <alignment horizontal="left"/>
    </xf>
    <xf numFmtId="0" fontId="7" fillId="2" borderId="139" xfId="4" applyFont="1" applyFill="1" applyBorder="1" applyAlignment="1"/>
    <xf numFmtId="0" fontId="14" fillId="0" borderId="74" xfId="0" applyFont="1" applyBorder="1" applyAlignment="1"/>
    <xf numFmtId="0" fontId="7" fillId="2" borderId="139" xfId="4" applyFont="1" applyFill="1" applyBorder="1" applyAlignment="1">
      <alignment horizontal="left"/>
    </xf>
    <xf numFmtId="0" fontId="8" fillId="2" borderId="74" xfId="4" applyFont="1" applyFill="1" applyBorder="1" applyAlignment="1">
      <alignment horizontal="left"/>
    </xf>
    <xf numFmtId="0" fontId="7" fillId="2" borderId="74" xfId="4" applyFont="1" applyFill="1" applyBorder="1" applyAlignment="1">
      <alignment horizontal="left"/>
    </xf>
    <xf numFmtId="0" fontId="14" fillId="0" borderId="74" xfId="0" applyFont="1" applyBorder="1" applyAlignment="1">
      <alignment horizontal="left"/>
    </xf>
    <xf numFmtId="0" fontId="7" fillId="2" borderId="139" xfId="4" applyFont="1" applyFill="1" applyBorder="1" applyAlignment="1">
      <alignment horizontal="left" wrapText="1"/>
    </xf>
    <xf numFmtId="0" fontId="7" fillId="2" borderId="74" xfId="4" applyFont="1" applyFill="1" applyBorder="1" applyAlignment="1">
      <alignment horizontal="left" wrapText="1"/>
    </xf>
    <xf numFmtId="0" fontId="7" fillId="2" borderId="139" xfId="4" applyFont="1" applyFill="1" applyBorder="1" applyAlignment="1">
      <alignment wrapText="1"/>
    </xf>
    <xf numFmtId="0" fontId="14" fillId="2" borderId="74" xfId="0" applyFont="1" applyFill="1" applyBorder="1" applyAlignment="1">
      <alignment wrapText="1"/>
    </xf>
    <xf numFmtId="0" fontId="8" fillId="3" borderId="52" xfId="4" applyFont="1" applyFill="1" applyBorder="1" applyAlignment="1">
      <alignment horizontal="center" vertical="center"/>
    </xf>
    <xf numFmtId="0" fontId="8" fillId="3" borderId="2" xfId="4" applyFont="1" applyFill="1" applyBorder="1" applyAlignment="1">
      <alignment horizontal="center" vertical="center"/>
    </xf>
    <xf numFmtId="0" fontId="8" fillId="3" borderId="53" xfId="4" applyFont="1" applyFill="1" applyBorder="1" applyAlignment="1">
      <alignment horizontal="center"/>
    </xf>
    <xf numFmtId="0" fontId="8" fillId="3" borderId="32" xfId="4" applyFont="1" applyFill="1" applyBorder="1" applyAlignment="1">
      <alignment horizontal="center"/>
    </xf>
    <xf numFmtId="0" fontId="7" fillId="2" borderId="131" xfId="4" applyFont="1" applyFill="1" applyBorder="1" applyAlignment="1"/>
    <xf numFmtId="0" fontId="14" fillId="0" borderId="138" xfId="0" applyFont="1" applyBorder="1" applyAlignment="1"/>
    <xf numFmtId="0" fontId="6" fillId="0" borderId="61" xfId="4" applyFont="1" applyFill="1" applyBorder="1" applyAlignment="1">
      <alignment horizontal="left"/>
    </xf>
    <xf numFmtId="0" fontId="7" fillId="3" borderId="84" xfId="4" applyFont="1" applyFill="1" applyBorder="1" applyAlignment="1">
      <alignment horizontal="left"/>
    </xf>
    <xf numFmtId="0" fontId="7" fillId="3" borderId="58" xfId="4" applyFont="1" applyFill="1" applyBorder="1" applyAlignment="1">
      <alignment horizontal="left"/>
    </xf>
    <xf numFmtId="0" fontId="5" fillId="3" borderId="151" xfId="4" applyFont="1" applyFill="1" applyBorder="1" applyAlignment="1">
      <alignment horizontal="center"/>
    </xf>
    <xf numFmtId="0" fontId="5" fillId="3" borderId="107" xfId="4" applyFont="1" applyFill="1" applyBorder="1" applyAlignment="1">
      <alignment horizontal="center"/>
    </xf>
    <xf numFmtId="0" fontId="6" fillId="2" borderId="19" xfId="4" applyFont="1" applyFill="1" applyBorder="1" applyAlignment="1">
      <alignment horizontal="left"/>
    </xf>
    <xf numFmtId="0" fontId="6" fillId="0" borderId="19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3" borderId="71" xfId="4" applyFont="1" applyFill="1" applyBorder="1" applyAlignment="1">
      <alignment horizontal="center"/>
    </xf>
    <xf numFmtId="0" fontId="7" fillId="3" borderId="90" xfId="4" applyFont="1" applyFill="1" applyBorder="1" applyAlignment="1">
      <alignment horizontal="center"/>
    </xf>
    <xf numFmtId="49" fontId="4" fillId="3" borderId="94" xfId="4" applyNumberFormat="1" applyFont="1" applyFill="1" applyBorder="1" applyAlignment="1">
      <alignment horizontal="left" vertical="center"/>
    </xf>
    <xf numFmtId="49" fontId="4" fillId="3" borderId="162" xfId="4" applyNumberFormat="1" applyFont="1" applyFill="1" applyBorder="1" applyAlignment="1">
      <alignment horizontal="left" vertical="center"/>
    </xf>
    <xf numFmtId="49" fontId="4" fillId="3" borderId="114" xfId="4" applyNumberFormat="1" applyFont="1" applyFill="1" applyBorder="1" applyAlignment="1">
      <alignment horizontal="center" vertical="center"/>
    </xf>
    <xf numFmtId="0" fontId="14" fillId="0" borderId="163" xfId="0" applyFont="1" applyBorder="1" applyAlignment="1">
      <alignment horizontal="center" vertical="center"/>
    </xf>
    <xf numFmtId="3" fontId="4" fillId="3" borderId="93" xfId="4" applyNumberFormat="1" applyFont="1" applyFill="1" applyBorder="1" applyAlignment="1">
      <alignment horizontal="center" vertical="center" wrapText="1"/>
    </xf>
    <xf numFmtId="3" fontId="4" fillId="3" borderId="100" xfId="4" applyNumberFormat="1" applyFont="1" applyFill="1" applyBorder="1" applyAlignment="1">
      <alignment horizontal="center" vertical="center" wrapText="1"/>
    </xf>
    <xf numFmtId="3" fontId="4" fillId="3" borderId="97" xfId="4" applyNumberFormat="1" applyFont="1" applyFill="1" applyBorder="1" applyAlignment="1">
      <alignment horizontal="center" vertical="center" wrapText="1"/>
    </xf>
    <xf numFmtId="3" fontId="4" fillId="3" borderId="102" xfId="4" applyNumberFormat="1" applyFont="1" applyFill="1" applyBorder="1" applyAlignment="1">
      <alignment horizontal="center" vertical="center" wrapText="1"/>
    </xf>
    <xf numFmtId="3" fontId="4" fillId="3" borderId="74" xfId="4" applyNumberFormat="1" applyFont="1" applyFill="1" applyBorder="1" applyAlignment="1">
      <alignment horizontal="center" vertical="center" wrapText="1"/>
    </xf>
    <xf numFmtId="3" fontId="4" fillId="3" borderId="32" xfId="4" applyNumberFormat="1" applyFont="1" applyFill="1" applyBorder="1" applyAlignment="1">
      <alignment horizontal="center" vertical="center" wrapText="1"/>
    </xf>
    <xf numFmtId="3" fontId="4" fillId="3" borderId="95" xfId="4" applyNumberFormat="1" applyFont="1" applyFill="1" applyBorder="1" applyAlignment="1">
      <alignment horizontal="center" vertical="center" wrapText="1"/>
    </xf>
    <xf numFmtId="0" fontId="14" fillId="0" borderId="101" xfId="0" applyFont="1" applyBorder="1" applyAlignment="1">
      <alignment horizontal="center" vertical="center" wrapText="1"/>
    </xf>
    <xf numFmtId="3" fontId="4" fillId="3" borderId="96" xfId="4" applyNumberFormat="1" applyFont="1" applyFill="1" applyBorder="1" applyAlignment="1">
      <alignment horizontal="center" vertical="center" wrapText="1"/>
    </xf>
    <xf numFmtId="3" fontId="5" fillId="3" borderId="74" xfId="4" applyNumberFormat="1" applyFont="1" applyFill="1" applyBorder="1" applyAlignment="1">
      <alignment horizontal="center" vertical="center" wrapText="1"/>
    </xf>
    <xf numFmtId="3" fontId="5" fillId="3" borderId="32" xfId="4" applyNumberFormat="1" applyFont="1" applyFill="1" applyBorder="1" applyAlignment="1">
      <alignment horizontal="center" vertical="center" wrapText="1"/>
    </xf>
    <xf numFmtId="3" fontId="5" fillId="3" borderId="95" xfId="4" applyNumberFormat="1" applyFont="1" applyFill="1" applyBorder="1" applyAlignment="1">
      <alignment horizontal="center" vertical="center" wrapText="1"/>
    </xf>
    <xf numFmtId="3" fontId="5" fillId="3" borderId="101" xfId="4" applyNumberFormat="1" applyFont="1" applyFill="1" applyBorder="1" applyAlignment="1">
      <alignment horizontal="center" vertical="center" wrapText="1"/>
    </xf>
    <xf numFmtId="0" fontId="7" fillId="3" borderId="89" xfId="4" applyFont="1" applyFill="1" applyBorder="1" applyAlignment="1">
      <alignment horizontal="center" vertical="center"/>
    </xf>
    <xf numFmtId="0" fontId="7" fillId="3" borderId="71" xfId="4" applyFont="1" applyFill="1" applyBorder="1" applyAlignment="1">
      <alignment horizontal="center" vertical="center"/>
    </xf>
    <xf numFmtId="0" fontId="14" fillId="0" borderId="90" xfId="0" applyFont="1" applyBorder="1" applyAlignment="1">
      <alignment horizontal="center" vertical="center"/>
    </xf>
    <xf numFmtId="0" fontId="8" fillId="0" borderId="0" xfId="4" applyFont="1" applyBorder="1" applyAlignment="1">
      <alignment horizontal="right" shrinkToFit="1"/>
    </xf>
    <xf numFmtId="0" fontId="7" fillId="3" borderId="90" xfId="4" applyFont="1" applyFill="1" applyBorder="1" applyAlignment="1">
      <alignment horizontal="center" vertical="center"/>
    </xf>
    <xf numFmtId="49" fontId="4" fillId="3" borderId="91" xfId="4" applyNumberFormat="1" applyFont="1" applyFill="1" applyBorder="1" applyAlignment="1">
      <alignment horizontal="left" vertical="center"/>
    </xf>
    <xf numFmtId="49" fontId="4" fillId="3" borderId="98" xfId="4" applyNumberFormat="1" applyFont="1" applyFill="1" applyBorder="1" applyAlignment="1">
      <alignment horizontal="left" vertical="center"/>
    </xf>
    <xf numFmtId="49" fontId="4" fillId="3" borderId="92" xfId="4" applyNumberFormat="1" applyFont="1" applyFill="1" applyBorder="1" applyAlignment="1">
      <alignment horizontal="center" vertical="center"/>
    </xf>
    <xf numFmtId="0" fontId="14" fillId="0" borderId="99" xfId="0" applyFont="1" applyBorder="1" applyAlignment="1">
      <alignment horizontal="center" vertical="center"/>
    </xf>
    <xf numFmtId="3" fontId="5" fillId="3" borderId="97" xfId="4" applyNumberFormat="1" applyFont="1" applyFill="1" applyBorder="1" applyAlignment="1">
      <alignment horizontal="center" vertical="center" wrapText="1"/>
    </xf>
    <xf numFmtId="3" fontId="5" fillId="3" borderId="102" xfId="4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40" fillId="0" borderId="0" xfId="0" applyFont="1" applyAlignment="1">
      <alignment horizontal="left" vertical="center" wrapText="1"/>
    </xf>
    <xf numFmtId="172" fontId="26" fillId="2" borderId="0" xfId="0" applyNumberFormat="1" applyFont="1" applyFill="1" applyBorder="1" applyAlignment="1"/>
    <xf numFmtId="172" fontId="43" fillId="2" borderId="0" xfId="0" applyNumberFormat="1" applyFont="1" applyFill="1" applyBorder="1" applyAlignment="1"/>
    <xf numFmtId="172" fontId="41" fillId="2" borderId="0" xfId="0" applyNumberFormat="1" applyFont="1" applyFill="1" applyBorder="1" applyAlignment="1"/>
    <xf numFmtId="172" fontId="0" fillId="2" borderId="0" xfId="0" applyNumberFormat="1" applyFont="1" applyFill="1" applyBorder="1" applyAlignment="1"/>
    <xf numFmtId="0" fontId="26" fillId="2" borderId="0" xfId="0" applyFont="1" applyFill="1" applyAlignment="1">
      <alignment horizontal="left" wrapText="1"/>
    </xf>
    <xf numFmtId="0" fontId="6" fillId="2" borderId="0" xfId="0" applyFont="1" applyFill="1" applyBorder="1" applyAlignment="1">
      <alignment horizontal="left" wrapText="1"/>
    </xf>
    <xf numFmtId="172" fontId="42" fillId="2" borderId="0" xfId="0" applyNumberFormat="1" applyFont="1" applyFill="1" applyBorder="1" applyAlignment="1"/>
    <xf numFmtId="172" fontId="38" fillId="2" borderId="0" xfId="0" applyNumberFormat="1" applyFont="1" applyFill="1" applyBorder="1" applyAlignment="1"/>
    <xf numFmtId="172" fontId="42" fillId="3" borderId="7" xfId="0" applyNumberFormat="1" applyFont="1" applyFill="1" applyBorder="1" applyAlignment="1">
      <alignment horizontal="right"/>
    </xf>
    <xf numFmtId="3" fontId="6" fillId="0" borderId="0" xfId="0" applyNumberFormat="1" applyFont="1" applyBorder="1" applyAlignment="1">
      <alignment horizontal="justify" vertical="top" wrapText="1"/>
    </xf>
    <xf numFmtId="0" fontId="6" fillId="0" borderId="0" xfId="0" applyFont="1" applyBorder="1" applyAlignment="1">
      <alignment horizontal="justify" vertical="top" wrapText="1"/>
    </xf>
    <xf numFmtId="0" fontId="6" fillId="2" borderId="0" xfId="0" applyFont="1" applyFill="1" applyBorder="1" applyAlignment="1">
      <alignment horizontal="justify" vertical="top" wrapText="1"/>
    </xf>
    <xf numFmtId="0" fontId="14" fillId="2" borderId="0" xfId="0" applyFont="1" applyFill="1" applyAlignment="1">
      <alignment horizontal="justify" vertical="top" wrapText="1"/>
    </xf>
    <xf numFmtId="0" fontId="14" fillId="2" borderId="0" xfId="0" applyFont="1" applyFill="1" applyAlignment="1">
      <alignment horizontal="justify" wrapText="1"/>
    </xf>
    <xf numFmtId="172" fontId="6" fillId="2" borderId="0" xfId="0" applyNumberFormat="1" applyFont="1" applyFill="1" applyBorder="1" applyAlignment="1">
      <alignment vertical="top"/>
    </xf>
    <xf numFmtId="0" fontId="14" fillId="0" borderId="0" xfId="0" applyFont="1" applyAlignment="1">
      <alignment vertical="top"/>
    </xf>
    <xf numFmtId="172" fontId="6" fillId="2" borderId="51" xfId="0" applyNumberFormat="1" applyFont="1" applyFill="1" applyBorder="1" applyAlignment="1"/>
    <xf numFmtId="172" fontId="7" fillId="3" borderId="7" xfId="0" applyNumberFormat="1" applyFont="1" applyFill="1" applyBorder="1" applyAlignment="1">
      <alignment horizontal="right"/>
    </xf>
    <xf numFmtId="0" fontId="7" fillId="3" borderId="7" xfId="0" applyFont="1" applyFill="1" applyBorder="1" applyAlignment="1">
      <alignment horizontal="left" wrapText="1"/>
    </xf>
    <xf numFmtId="0" fontId="14" fillId="0" borderId="7" xfId="0" applyFont="1" applyBorder="1" applyAlignment="1">
      <alignment wrapText="1"/>
    </xf>
    <xf numFmtId="0" fontId="7" fillId="3" borderId="52" xfId="0" applyFont="1" applyFill="1" applyBorder="1" applyAlignment="1">
      <alignment horizontal="left"/>
    </xf>
    <xf numFmtId="0" fontId="7" fillId="3" borderId="137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172" fontId="10" fillId="2" borderId="0" xfId="0" applyNumberFormat="1" applyFont="1" applyFill="1" applyBorder="1" applyAlignment="1"/>
    <xf numFmtId="172" fontId="15" fillId="2" borderId="0" xfId="0" applyNumberFormat="1" applyFont="1" applyFill="1" applyBorder="1" applyAlignment="1"/>
    <xf numFmtId="172" fontId="6" fillId="2" borderId="0" xfId="0" applyNumberFormat="1" applyFont="1" applyFill="1" applyBorder="1" applyAlignment="1"/>
    <xf numFmtId="0" fontId="14" fillId="0" borderId="0" xfId="0" applyFont="1" applyAlignment="1"/>
    <xf numFmtId="172" fontId="7" fillId="2" borderId="0" xfId="0" applyNumberFormat="1" applyFont="1" applyFill="1" applyBorder="1" applyAlignment="1"/>
    <xf numFmtId="172" fontId="18" fillId="2" borderId="0" xfId="0" applyNumberFormat="1" applyFont="1" applyFill="1" applyBorder="1" applyAlignment="1"/>
    <xf numFmtId="3" fontId="8" fillId="0" borderId="0" xfId="4" applyNumberFormat="1" applyAlignment="1">
      <alignment horizontal="center"/>
    </xf>
    <xf numFmtId="0" fontId="8" fillId="0" borderId="0" xfId="4" applyAlignment="1">
      <alignment horizontal="center"/>
    </xf>
    <xf numFmtId="0" fontId="8" fillId="0" borderId="19" xfId="4" applyBorder="1" applyAlignment="1">
      <alignment horizontal="left"/>
    </xf>
    <xf numFmtId="0" fontId="8" fillId="2" borderId="19" xfId="4" applyFill="1" applyBorder="1" applyAlignment="1">
      <alignment horizontal="left"/>
    </xf>
    <xf numFmtId="0" fontId="39" fillId="3" borderId="132" xfId="8" applyFont="1" applyFill="1" applyBorder="1" applyAlignment="1">
      <alignment horizontal="center" vertical="center"/>
    </xf>
    <xf numFmtId="0" fontId="0" fillId="3" borderId="128" xfId="0" applyFill="1" applyBorder="1" applyAlignment="1">
      <alignment horizontal="center" vertical="center"/>
    </xf>
    <xf numFmtId="0" fontId="2" fillId="0" borderId="84" xfId="4" applyFont="1" applyBorder="1" applyAlignment="1">
      <alignment horizontal="center"/>
    </xf>
    <xf numFmtId="0" fontId="2" fillId="0" borderId="58" xfId="4" applyFont="1" applyBorder="1" applyAlignment="1">
      <alignment horizontal="center"/>
    </xf>
  </cellXfs>
  <cellStyles count="9">
    <cellStyle name="Čárka 2" xfId="2" xr:uid="{00000000-0005-0000-0000-000000000000}"/>
    <cellStyle name="Normální" xfId="0" builtinId="0"/>
    <cellStyle name="Normální 2" xfId="1" xr:uid="{00000000-0005-0000-0000-000002000000}"/>
    <cellStyle name="Normální 2 2" xfId="4" xr:uid="{00000000-0005-0000-0000-000003000000}"/>
    <cellStyle name="Normální 2 2 2" xfId="6" xr:uid="{00000000-0005-0000-0000-000004000000}"/>
    <cellStyle name="Normální 3" xfId="3" xr:uid="{00000000-0005-0000-0000-000005000000}"/>
    <cellStyle name="Normální 4" xfId="5" xr:uid="{00000000-0005-0000-0000-000006000000}"/>
    <cellStyle name="Normální 6" xfId="7" xr:uid="{00000000-0005-0000-0000-000007000000}"/>
    <cellStyle name="normální_Požadavky na investice 2005 a plnění 2004-úprava" xfId="8" xr:uid="{00000000-0005-0000-0000-000008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4/ROK%2020.11.2023/I.%20-%20Usnesen&#237;_p&#345;&#237;loha%20&#269;.%2002)%20-%20P&#345;&#237;jmy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1/II.%20verze/x.%20-%20Rozpo&#269;et%20OK%202021%20-%2003b)%20Dota&#269;n&#237;%20tituly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4/ZOK%2011.12.2023/Usnesen&#237;_p&#345;&#237;loha%20&#269;.%2003b)%20-%20Dota&#269;n&#237;%20tituly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4/I.%20verze/I.%20-%20Usnesen&#237;_p&#345;&#237;loha%20&#269;.%2003c)%20-%20PO%20-%20bez%20transf.podilu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1/II.%20verze/x.%20-%20Rozpo&#269;et%20OK%202021%20-%2003c)%20PO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OdRF\Rozpo&#269;et%20Olomouck&#233;ho%20kraje\2024\ROK%2020.11.2023\Usnesen&#237;_p&#345;&#237;loha%20&#269;.%2003c)%20-%20PO%20-%20bez%20transf.podilu.xlsx" TargetMode="External"/><Relationship Id="rId1" Type="http://schemas.openxmlformats.org/officeDocument/2006/relationships/externalLinkPath" Target="/OdRF/Rozpo&#269;et%20Olomouck&#233;ho%20kraje/2024/ROK%2020.11.2023/Usnesen&#237;_p&#345;&#237;loha%20&#269;.%2003c)%20-%20PO%20-%20bez%20transf.podilu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4/I.%20verze/I.%20-%20Usnesen&#237;_p&#345;&#237;loha%20&#269;.%2003d)%20-%20Fond%20soci&#225;ln&#237;ch%20pot&#345;eb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1/II.%20verze/x.%20-%20Rozpo&#269;et%20OK%202021%20-%2003d)%20Fond%20soci&#225;ln&#237;ch%20pot&#345;eb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4/ZOK%2011.12.2023/Usnesen&#237;_p&#345;&#237;loha%20&#269;.%2003d)%20-%20Fond%20soci&#225;ln&#237;ch%20pot&#345;eb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4/I.%20verze/I.%20-%20Usnesen&#237;_p&#345;&#237;loha%20&#269;.%2003e)%20-%20Fond%20-%20voda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2/I.%20verze/x.%20-%20Rozpo&#269;et%20OK%202022%20-%2003e)%20Fond%20-%20vo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4/ZOK%2011.12.2023/Usnesen&#237;_p&#345;&#237;loha%20&#269;.%2002)%20-%20P&#345;&#237;jmy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4/ZOK%2011.12.2023/Usnesen&#237;_p&#345;&#237;loha%20&#269;.%2003e)%20-%20Fond%20-%20voda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1/III.%20verze/x.%20-%20Rozpo&#269;et%20OK%202021%20-%2005)%20Investice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4/ZOK%2011.12.2023/Usnesen&#237;_p&#345;&#237;loha%20&#269;.%2005)%20-%20Rekapitulace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1/II.%20verze/x.%20-%20Rozpo&#269;et%20OK%202021%20-%2004)%20Financov&#225;n&#237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4/ZOK%2011.12.2023/Usnesen&#237;_p&#345;&#237;loha%20&#269;.%2004)%20-%20Financov&#225;n&#237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3/ZOK%2012.12.2022/Usnesen&#237;_p&#345;&#237;loha%20&#269;.%2004)%20-%20Financov&#225;n&#237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3/ZOK%2012.12.2022/Usnesen&#237;_p&#345;&#237;loha%20&#269;.%2003b)%20-%20Dota&#269;n&#237;%20tituly.xlsx" TargetMode="External"/></Relationships>
</file>

<file path=xl/externalLinks/_rels/externalLink2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OdRF\Rozpo&#269;et%20Olomouck&#233;ho%20kraje\2024\ZOK%2011.12.2023\Usnesen&#237;_p&#345;&#237;loha%20&#269;.%2005a)%20-%20Rozpracovan&#233;%20opravy.xlsx" TargetMode="External"/><Relationship Id="rId1" Type="http://schemas.openxmlformats.org/officeDocument/2006/relationships/externalLinkPath" Target="/OdRF/Rozpo&#269;et%20Olomouck&#233;ho%20kraje/2024/ZOK%2011.12.2023/Usnesen&#237;_p&#345;&#237;loha%20&#269;.%2005a)%20-%20Rozpracovan&#233;%20opravy.xlsx" TargetMode="External"/></Relationships>
</file>

<file path=xl/externalLinks/_rels/externalLink2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OdRF\Rozpo&#269;et%20Olomouck&#233;ho%20kraje\2024\ZOK%2011.12.2023\Usnesen&#237;_p&#345;&#237;loha%20&#269;.%2005b)%20-%20Rozpracovan&#233;%20investice.xlsx" TargetMode="External"/><Relationship Id="rId1" Type="http://schemas.openxmlformats.org/officeDocument/2006/relationships/externalLinkPath" Target="/OdRF/Rozpo&#269;et%20Olomouck&#233;ho%20kraje/2024/ZOK%2011.12.2023/Usnesen&#237;_p&#345;&#237;loha%20&#269;.%2005b)%20-%20Rozpracovan&#233;%20investice.xlsx" TargetMode="External"/></Relationships>
</file>

<file path=xl/externalLinks/_rels/externalLink2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OdRF\Rozpo&#269;et%20Olomouck&#233;ho%20kraje\2024\ZOK%2011.12.2023\Usnesen&#237;_p&#345;&#237;loha%20&#269;.%2005c)%20-%20Nov&#233;%20opravy.xlsx" TargetMode="External"/><Relationship Id="rId1" Type="http://schemas.openxmlformats.org/officeDocument/2006/relationships/externalLinkPath" Target="/OdRF/Rozpo&#269;et%20Olomouck&#233;ho%20kraje/2024/ZOK%2011.12.2023/Usnesen&#237;_p&#345;&#237;loha%20&#269;.%2005c)%20-%20Nov&#233;%20oprav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1/II.%20verze/x.%20-%20Rozpo&#269;et%20OK%202021%20-%2002)%20P&#345;&#237;jmy.xlsx" TargetMode="External"/></Relationships>
</file>

<file path=xl/externalLinks/_rels/externalLink3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OdRF\Rozpo&#269;et%20Olomouck&#233;ho%20kraje\2024\ZOK%2011.12.2023\Usnesen&#237;_p&#345;&#237;loha%20&#269;.%2005d)%20-%20Nov&#233;%20investice.xlsx" TargetMode="External"/><Relationship Id="rId1" Type="http://schemas.openxmlformats.org/officeDocument/2006/relationships/externalLinkPath" Target="/OdRF/Rozpo&#269;et%20Olomouck&#233;ho%20kraje/2024/ZOK%2011.12.2023/Usnesen&#237;_p&#345;&#237;loha%20&#269;.%2005d)%20-%20Nov&#233;%20investice.xlsx" TargetMode="External"/></Relationships>
</file>

<file path=xl/externalLinks/_rels/externalLink3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OdRF\Rozpo&#269;et%20Olomouck&#233;ho%20kraje\2024\ZOK%2011.12.2023\Usnesen&#237;_p&#345;&#237;loha%20&#269;.%2005e)%20-%20Nov&#233;%20n&#225;kupy.xlsx" TargetMode="External"/><Relationship Id="rId1" Type="http://schemas.openxmlformats.org/officeDocument/2006/relationships/externalLinkPath" Target="/OdRF/Rozpo&#269;et%20Olomouck&#233;ho%20kraje/2024/ZOK%2011.12.2023/Usnesen&#237;_p&#345;&#237;loha%20&#269;.%2005e)%20-%20Nov&#233;%20n&#225;kupy.xlsx" TargetMode="External"/></Relationships>
</file>

<file path=xl/externalLinks/_rels/externalLink3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OdRF\Rozpo&#269;et%20Olomouck&#233;ho%20kraje\2024\ZOK%2011.12.2023\Usnesen&#237;_p&#345;&#237;loha%20&#269;.%2005f)%20-%20Projekty%20-%20neinvesti&#269;n&#237;.xlsx" TargetMode="External"/><Relationship Id="rId1" Type="http://schemas.openxmlformats.org/officeDocument/2006/relationships/externalLinkPath" Target="/OdRF/Rozpo&#269;et%20Olomouck&#233;ho%20kraje/2024/ZOK%2011.12.2023/Usnesen&#237;_p&#345;&#237;loha%20&#269;.%2005f)%20-%20Projekty%20-%20neinvesti&#269;n&#237;.xlsx" TargetMode="External"/></Relationships>
</file>

<file path=xl/externalLinks/_rels/externalLink3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OdRF\Rozpo&#269;et%20Olomouck&#233;ho%20kraje\2024\ZOK%2011.12.2023\Usnesen&#237;_p&#345;&#237;loha%20&#269;.%2005g)%20-%20Projekty%20-%20investi&#269;n&#237;.xlsx" TargetMode="External"/><Relationship Id="rId1" Type="http://schemas.openxmlformats.org/officeDocument/2006/relationships/externalLinkPath" Target="/OdRF/Rozpo&#269;et%20Olomouck&#233;ho%20kraje/2024/ZOK%2011.12.2023/Usnesen&#237;_p&#345;&#237;loha%20&#269;.%2005g)%20-%20Projekty%20-%20investi&#269;n&#237;.xlsx" TargetMode="External"/></Relationships>
</file>

<file path=xl/externalLinks/_rels/externalLink3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OdRF\Rozpo&#269;et%20Olomouck&#233;ho%20kraje\2024\ZOK%2011.12.2023\Usnesen&#237;_p&#345;&#237;loha%20&#269;.%2005h)%20-%20Energetika%20-%20investice%20i%20neinvestice.xlsx" TargetMode="External"/><Relationship Id="rId1" Type="http://schemas.openxmlformats.org/officeDocument/2006/relationships/externalLinkPath" Target="/OdRF/Rozpo&#269;et%20Olomouck&#233;ho%20kraje/2024/ZOK%2011.12.2023/Usnesen&#237;_p&#345;&#237;loha%20&#269;.%2005h)%20-%20Energetika%20-%20investice%20i%20neinvestic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18/ZOK%2018.12.2017/6.%20-%20Rozpo&#269;et%20OK%202018%20-%2003a)%20V&#253;daje%20odbor&#367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1/II.%20verze/x.%20-%20Rozpo&#269;et%20OK%202021%20-%2003a)%20V&#253;daje%20odbor&#367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4/I.%20verze/I.%20-%20Usnesen&#237;_p&#345;&#237;loha%20&#269;.%2003a)%20-%20V&#253;daje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OdRF\Rozpo&#269;et%20Olomouck&#233;ho%20kraje\2024\ZOK%2011.12.2023\Usnesen&#237;_p&#345;&#237;loha%20&#269;.%2003a)%20-%20V&#253;daje.xlsx" TargetMode="External"/><Relationship Id="rId1" Type="http://schemas.openxmlformats.org/officeDocument/2006/relationships/externalLinkPath" Target="/OdRF/Rozpo&#269;et%20Olomouck&#233;ho%20kraje/2024/ZOK%2011.12.2023/Usnesen&#237;_p&#345;&#237;loha%20&#269;.%2003a)%20-%20V&#253;daj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18/ZOK%2018.12.2017/6.%20-%20Rozpo&#269;et%20OK%202018%20-%2003b)%20Dota&#269;n&#237;%20tituly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4/I.%20verze/I.%20-%20Usnesen&#237;_p&#345;&#237;loha%20&#269;.%2003b)%20-%20Dota&#269;n&#237;%20titu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říjmy"/>
      <sheetName val="daně"/>
      <sheetName val="odbory"/>
      <sheetName val="odbory1"/>
      <sheetName val="PO - odvody 100%"/>
      <sheetName val="predikce"/>
    </sheetNames>
    <sheetDataSet>
      <sheetData sheetId="0">
        <row r="12">
          <cell r="D12">
            <v>6500000</v>
          </cell>
        </row>
        <row r="13">
          <cell r="D13">
            <v>1190</v>
          </cell>
        </row>
        <row r="14">
          <cell r="D14">
            <v>1540</v>
          </cell>
        </row>
        <row r="15">
          <cell r="D15">
            <v>90</v>
          </cell>
        </row>
        <row r="16">
          <cell r="D16">
            <v>254083</v>
          </cell>
        </row>
        <row r="17">
          <cell r="D17">
            <v>25</v>
          </cell>
        </row>
        <row r="18">
          <cell r="D18">
            <v>223.3</v>
          </cell>
        </row>
        <row r="19">
          <cell r="D19">
            <v>37699</v>
          </cell>
        </row>
        <row r="20">
          <cell r="D20">
            <v>142</v>
          </cell>
        </row>
        <row r="21">
          <cell r="D21">
            <v>1400</v>
          </cell>
        </row>
        <row r="22">
          <cell r="D22">
            <v>2210.2999999999997</v>
          </cell>
        </row>
        <row r="23">
          <cell r="D23">
            <v>20</v>
          </cell>
        </row>
        <row r="24">
          <cell r="D24">
            <v>810.30000000000007</v>
          </cell>
        </row>
        <row r="25">
          <cell r="D25">
            <v>1</v>
          </cell>
        </row>
        <row r="26">
          <cell r="D26">
            <v>500</v>
          </cell>
        </row>
        <row r="27">
          <cell r="D27">
            <v>9500</v>
          </cell>
        </row>
        <row r="28">
          <cell r="D28">
            <v>10</v>
          </cell>
        </row>
        <row r="29">
          <cell r="D29">
            <v>29697.5</v>
          </cell>
        </row>
        <row r="30">
          <cell r="D30">
            <v>1293</v>
          </cell>
          <cell r="F30">
            <v>0</v>
          </cell>
        </row>
        <row r="31">
          <cell r="D31">
            <v>140403.6</v>
          </cell>
        </row>
        <row r="32">
          <cell r="D32">
            <v>101479</v>
          </cell>
        </row>
        <row r="33">
          <cell r="D33">
            <v>98521</v>
          </cell>
        </row>
        <row r="43">
          <cell r="D43">
            <v>11790</v>
          </cell>
        </row>
        <row r="61">
          <cell r="D61">
            <v>34000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kapitulace"/>
      <sheetName val="08"/>
      <sheetName val="09"/>
      <sheetName val="10"/>
      <sheetName val="11"/>
      <sheetName val="12"/>
      <sheetName val="13"/>
      <sheetName val="14"/>
      <sheetName val="18"/>
      <sheetName val="07 - ID"/>
      <sheetName val="IŽ"/>
    </sheetNames>
    <sheetDataSet>
      <sheetData sheetId="0">
        <row r="139">
          <cell r="G139">
            <v>778658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kapitulace"/>
      <sheetName val="08"/>
      <sheetName val="09"/>
      <sheetName val="10"/>
      <sheetName val="11"/>
      <sheetName val="12"/>
      <sheetName val="13"/>
      <sheetName val="14"/>
      <sheetName val="18"/>
      <sheetName val="07 - ID"/>
      <sheetName val="IŽ"/>
    </sheetNames>
    <sheetDataSet>
      <sheetData sheetId="0">
        <row r="120">
          <cell r="G120">
            <v>553544</v>
          </cell>
        </row>
      </sheetData>
      <sheetData sheetId="1">
        <row r="21">
          <cell r="G21">
            <v>300</v>
          </cell>
          <cell r="H21"/>
        </row>
        <row r="22">
          <cell r="G22">
            <v>350</v>
          </cell>
          <cell r="H22"/>
        </row>
        <row r="25">
          <cell r="I25">
            <v>300</v>
          </cell>
          <cell r="J25">
            <v>280</v>
          </cell>
        </row>
        <row r="26">
          <cell r="I26">
            <v>350</v>
          </cell>
          <cell r="J26">
            <v>250</v>
          </cell>
        </row>
        <row r="27">
          <cell r="J27">
            <v>50</v>
          </cell>
        </row>
        <row r="30">
          <cell r="G30">
            <v>36765</v>
          </cell>
          <cell r="H30"/>
        </row>
        <row r="31">
          <cell r="G31">
            <v>1000</v>
          </cell>
          <cell r="H31"/>
        </row>
        <row r="32">
          <cell r="G32">
            <v>3000</v>
          </cell>
          <cell r="H32"/>
        </row>
        <row r="38">
          <cell r="I38">
            <v>33000</v>
          </cell>
        </row>
        <row r="39">
          <cell r="I39">
            <v>3000</v>
          </cell>
        </row>
        <row r="42">
          <cell r="I42">
            <v>1000</v>
          </cell>
          <cell r="J42">
            <v>2665</v>
          </cell>
        </row>
        <row r="50">
          <cell r="G50">
            <v>1200</v>
          </cell>
          <cell r="H50"/>
          <cell r="I50">
            <v>1000</v>
          </cell>
        </row>
        <row r="52">
          <cell r="G52">
            <v>1000</v>
          </cell>
          <cell r="H52"/>
        </row>
        <row r="57">
          <cell r="E57">
            <v>38650</v>
          </cell>
          <cell r="F57">
            <v>17492</v>
          </cell>
          <cell r="G57">
            <v>41615</v>
          </cell>
        </row>
        <row r="58">
          <cell r="E58">
            <v>1000</v>
          </cell>
          <cell r="F58">
            <v>37359</v>
          </cell>
          <cell r="G58">
            <v>2000</v>
          </cell>
        </row>
      </sheetData>
      <sheetData sheetId="2">
        <row r="17">
          <cell r="G17">
            <v>500</v>
          </cell>
          <cell r="H17"/>
        </row>
        <row r="18">
          <cell r="G18">
            <v>300</v>
          </cell>
          <cell r="H18"/>
        </row>
        <row r="19">
          <cell r="G19">
            <v>438</v>
          </cell>
          <cell r="H19"/>
        </row>
        <row r="21">
          <cell r="I21">
            <v>500</v>
          </cell>
          <cell r="J21">
            <v>500</v>
          </cell>
        </row>
        <row r="26">
          <cell r="G26">
            <v>250</v>
          </cell>
          <cell r="H26"/>
        </row>
        <row r="27">
          <cell r="G27">
            <v>2000</v>
          </cell>
          <cell r="H27"/>
        </row>
        <row r="28">
          <cell r="G28">
            <v>6200</v>
          </cell>
          <cell r="H28"/>
        </row>
        <row r="29">
          <cell r="G29">
            <v>1000</v>
          </cell>
          <cell r="H29"/>
        </row>
        <row r="30">
          <cell r="G30">
            <v>1500</v>
          </cell>
          <cell r="H30"/>
        </row>
        <row r="33">
          <cell r="I33">
            <v>6988</v>
          </cell>
        </row>
        <row r="37">
          <cell r="G37">
            <v>5000</v>
          </cell>
          <cell r="H37"/>
        </row>
        <row r="38">
          <cell r="G38">
            <v>2500</v>
          </cell>
          <cell r="H38"/>
        </row>
        <row r="40">
          <cell r="G40">
            <v>500</v>
          </cell>
          <cell r="H40"/>
        </row>
        <row r="42">
          <cell r="I42">
            <v>5000</v>
          </cell>
          <cell r="J42">
            <v>5000</v>
          </cell>
        </row>
        <row r="49">
          <cell r="E49">
            <v>13988</v>
          </cell>
          <cell r="F49">
            <v>13988</v>
          </cell>
          <cell r="G49">
            <v>14200</v>
          </cell>
        </row>
        <row r="50">
          <cell r="E50">
            <v>0</v>
          </cell>
          <cell r="F50">
            <v>0</v>
          </cell>
          <cell r="G50">
            <v>0</v>
          </cell>
        </row>
      </sheetData>
      <sheetData sheetId="3">
        <row r="18">
          <cell r="G18">
            <v>16100</v>
          </cell>
          <cell r="H18"/>
        </row>
        <row r="20">
          <cell r="I20">
            <v>10400</v>
          </cell>
          <cell r="J20">
            <v>10400</v>
          </cell>
        </row>
        <row r="23">
          <cell r="I23">
            <v>5700</v>
          </cell>
          <cell r="J23">
            <v>5700</v>
          </cell>
        </row>
        <row r="27">
          <cell r="G27">
            <v>700</v>
          </cell>
          <cell r="H27"/>
        </row>
        <row r="29">
          <cell r="I29">
            <v>700</v>
          </cell>
          <cell r="J29">
            <v>700</v>
          </cell>
        </row>
        <row r="33">
          <cell r="G33">
            <v>2400</v>
          </cell>
          <cell r="H33"/>
        </row>
        <row r="35">
          <cell r="I35">
            <v>2400</v>
          </cell>
          <cell r="J35">
            <v>1572</v>
          </cell>
        </row>
        <row r="36">
          <cell r="I36">
            <v>0</v>
          </cell>
          <cell r="J36">
            <v>828</v>
          </cell>
        </row>
        <row r="40">
          <cell r="G40">
            <v>1700</v>
          </cell>
          <cell r="H40"/>
        </row>
        <row r="42">
          <cell r="I42">
            <v>1000</v>
          </cell>
        </row>
        <row r="43">
          <cell r="I43">
            <v>0</v>
          </cell>
        </row>
        <row r="48">
          <cell r="E48">
            <v>20200</v>
          </cell>
          <cell r="F48">
            <v>20200</v>
          </cell>
          <cell r="G48">
            <v>20900</v>
          </cell>
        </row>
        <row r="49">
          <cell r="E49">
            <v>0</v>
          </cell>
          <cell r="F49">
            <v>0</v>
          </cell>
          <cell r="G49">
            <v>0</v>
          </cell>
        </row>
      </sheetData>
      <sheetData sheetId="4">
        <row r="23">
          <cell r="G23">
            <v>1650</v>
          </cell>
          <cell r="H23"/>
        </row>
        <row r="24">
          <cell r="G24">
            <v>1650</v>
          </cell>
          <cell r="H24"/>
        </row>
        <row r="25">
          <cell r="G25">
            <v>2600</v>
          </cell>
          <cell r="H25"/>
        </row>
        <row r="27">
          <cell r="G27">
            <v>25000</v>
          </cell>
          <cell r="H27"/>
        </row>
        <row r="51">
          <cell r="E51">
            <v>60363</v>
          </cell>
          <cell r="F51">
            <v>62576</v>
          </cell>
          <cell r="G51">
            <v>63900</v>
          </cell>
        </row>
        <row r="52">
          <cell r="E52">
            <v>0</v>
          </cell>
          <cell r="F52">
            <v>787</v>
          </cell>
          <cell r="G52">
            <v>25000</v>
          </cell>
        </row>
      </sheetData>
      <sheetData sheetId="5">
        <row r="18">
          <cell r="G18">
            <v>12000</v>
          </cell>
          <cell r="H18"/>
        </row>
        <row r="20">
          <cell r="I20">
            <v>11000</v>
          </cell>
        </row>
        <row r="23">
          <cell r="G23">
            <v>6000</v>
          </cell>
          <cell r="H23"/>
        </row>
        <row r="25">
          <cell r="I25">
            <v>5000</v>
          </cell>
          <cell r="J25">
            <v>9776</v>
          </cell>
        </row>
        <row r="30">
          <cell r="G30">
            <v>4000</v>
          </cell>
          <cell r="H30"/>
          <cell r="I30">
            <v>4000</v>
          </cell>
          <cell r="J30">
            <v>386</v>
          </cell>
        </row>
        <row r="31">
          <cell r="I31">
            <v>0</v>
          </cell>
          <cell r="J31">
            <v>322</v>
          </cell>
        </row>
        <row r="35">
          <cell r="E35">
            <v>0</v>
          </cell>
          <cell r="F35">
            <v>322</v>
          </cell>
          <cell r="G35">
            <v>0</v>
          </cell>
        </row>
        <row r="36">
          <cell r="E36">
            <v>20000</v>
          </cell>
          <cell r="F36">
            <v>22404</v>
          </cell>
          <cell r="G36">
            <v>22000</v>
          </cell>
        </row>
      </sheetData>
      <sheetData sheetId="6">
        <row r="37">
          <cell r="F37">
            <v>9160</v>
          </cell>
        </row>
        <row r="38">
          <cell r="F38">
            <v>7240</v>
          </cell>
        </row>
        <row r="39">
          <cell r="F39">
            <v>6785</v>
          </cell>
        </row>
        <row r="40">
          <cell r="F40">
            <v>980</v>
          </cell>
        </row>
        <row r="55">
          <cell r="G55">
            <v>12300</v>
          </cell>
          <cell r="H55"/>
        </row>
        <row r="56">
          <cell r="G56">
            <v>200</v>
          </cell>
          <cell r="H56"/>
        </row>
        <row r="57">
          <cell r="G57">
            <v>1500</v>
          </cell>
          <cell r="H57"/>
        </row>
        <row r="58">
          <cell r="G58">
            <v>2500</v>
          </cell>
          <cell r="H58"/>
        </row>
        <row r="60">
          <cell r="I60">
            <v>9300</v>
          </cell>
          <cell r="J60">
            <v>13300</v>
          </cell>
        </row>
        <row r="65">
          <cell r="I65">
            <v>200</v>
          </cell>
          <cell r="J65">
            <v>168</v>
          </cell>
          <cell r="K65"/>
          <cell r="L65">
            <v>32</v>
          </cell>
        </row>
        <row r="66">
          <cell r="I66">
            <v>1500</v>
          </cell>
          <cell r="J66">
            <v>1340</v>
          </cell>
          <cell r="K66"/>
          <cell r="L66">
            <v>160</v>
          </cell>
        </row>
        <row r="67">
          <cell r="I67">
            <v>2500</v>
          </cell>
          <cell r="J67">
            <v>3018</v>
          </cell>
        </row>
        <row r="70">
          <cell r="G70">
            <v>1250</v>
          </cell>
          <cell r="H70"/>
        </row>
        <row r="72">
          <cell r="I72">
            <v>1250</v>
          </cell>
          <cell r="J72">
            <v>1062</v>
          </cell>
        </row>
        <row r="73">
          <cell r="J73">
            <v>188</v>
          </cell>
        </row>
        <row r="76">
          <cell r="G76">
            <v>3800</v>
          </cell>
          <cell r="H76"/>
        </row>
        <row r="78">
          <cell r="I78">
            <v>3800</v>
          </cell>
          <cell r="J78">
            <v>3800</v>
          </cell>
        </row>
        <row r="83">
          <cell r="G83">
            <v>34100</v>
          </cell>
          <cell r="H83"/>
        </row>
        <row r="84">
          <cell r="G84">
            <v>22500</v>
          </cell>
          <cell r="H84"/>
        </row>
        <row r="87">
          <cell r="I87">
            <v>30100</v>
          </cell>
          <cell r="J87">
            <v>30100</v>
          </cell>
        </row>
        <row r="88">
          <cell r="I88">
            <v>22500</v>
          </cell>
          <cell r="J88">
            <v>22500</v>
          </cell>
        </row>
        <row r="91">
          <cell r="G91">
            <v>1500</v>
          </cell>
          <cell r="H91"/>
        </row>
        <row r="93">
          <cell r="I93">
            <v>1500</v>
          </cell>
          <cell r="J93">
            <v>920</v>
          </cell>
        </row>
        <row r="94">
          <cell r="J94">
            <v>580</v>
          </cell>
        </row>
        <row r="97">
          <cell r="G97">
            <v>17250</v>
          </cell>
          <cell r="H97"/>
        </row>
        <row r="99">
          <cell r="I99">
            <v>14750</v>
          </cell>
          <cell r="J99">
            <v>12000</v>
          </cell>
        </row>
        <row r="106">
          <cell r="G106">
            <v>6000</v>
          </cell>
          <cell r="H106"/>
          <cell r="I106">
            <v>4000</v>
          </cell>
          <cell r="J106">
            <v>4560</v>
          </cell>
        </row>
        <row r="115">
          <cell r="G115">
            <v>5397</v>
          </cell>
          <cell r="H115"/>
          <cell r="I115">
            <v>7300</v>
          </cell>
          <cell r="J115">
            <v>7300</v>
          </cell>
        </row>
        <row r="116">
          <cell r="G116">
            <v>6458</v>
          </cell>
          <cell r="H116"/>
          <cell r="I116">
            <v>6550</v>
          </cell>
          <cell r="J116">
            <v>6550</v>
          </cell>
        </row>
        <row r="119">
          <cell r="G119">
            <v>10000</v>
          </cell>
          <cell r="H119"/>
        </row>
        <row r="121">
          <cell r="I121">
            <v>10000</v>
          </cell>
          <cell r="J121">
            <v>9172</v>
          </cell>
        </row>
        <row r="127">
          <cell r="G127">
            <v>13500</v>
          </cell>
          <cell r="H127"/>
        </row>
        <row r="128">
          <cell r="G128">
            <v>1000</v>
          </cell>
          <cell r="H128"/>
        </row>
        <row r="129">
          <cell r="G129">
            <v>2000</v>
          </cell>
          <cell r="H129"/>
        </row>
        <row r="142">
          <cell r="G142">
            <v>23990</v>
          </cell>
          <cell r="H142"/>
          <cell r="I142">
            <v>18000</v>
          </cell>
        </row>
        <row r="146">
          <cell r="G146">
            <v>15000</v>
          </cell>
          <cell r="H146"/>
        </row>
        <row r="148">
          <cell r="I148">
            <v>14500</v>
          </cell>
          <cell r="J148">
            <v>15000</v>
          </cell>
        </row>
        <row r="151">
          <cell r="G151">
            <v>1000</v>
          </cell>
          <cell r="H151"/>
        </row>
        <row r="158">
          <cell r="G158">
            <v>10610</v>
          </cell>
          <cell r="H158"/>
        </row>
        <row r="165">
          <cell r="E165">
            <v>147500</v>
          </cell>
          <cell r="F165">
            <v>158577</v>
          </cell>
          <cell r="G165">
            <v>157605</v>
          </cell>
        </row>
        <row r="166">
          <cell r="E166">
            <v>28750</v>
          </cell>
          <cell r="F166">
            <v>25732</v>
          </cell>
          <cell r="G166">
            <v>34250</v>
          </cell>
        </row>
      </sheetData>
      <sheetData sheetId="7">
        <row r="25">
          <cell r="G25">
            <v>1000</v>
          </cell>
          <cell r="H25"/>
        </row>
        <row r="29">
          <cell r="G29">
            <v>1800</v>
          </cell>
          <cell r="H29"/>
          <cell r="I29">
            <v>1825</v>
          </cell>
          <cell r="J29">
            <v>1600</v>
          </cell>
        </row>
        <row r="30">
          <cell r="I30">
            <v>300</v>
          </cell>
        </row>
        <row r="31">
          <cell r="G31">
            <v>650</v>
          </cell>
          <cell r="H31"/>
          <cell r="I31">
            <v>200</v>
          </cell>
          <cell r="J31">
            <v>200</v>
          </cell>
        </row>
        <row r="39">
          <cell r="G39">
            <v>800</v>
          </cell>
          <cell r="H39"/>
          <cell r="I39">
            <v>700</v>
          </cell>
          <cell r="J39">
            <v>539</v>
          </cell>
          <cell r="L39">
            <v>210</v>
          </cell>
        </row>
        <row r="40">
          <cell r="G40">
            <v>1650</v>
          </cell>
          <cell r="H40"/>
          <cell r="I40">
            <v>1550</v>
          </cell>
        </row>
        <row r="43">
          <cell r="G43">
            <v>1500</v>
          </cell>
          <cell r="H43"/>
        </row>
        <row r="45">
          <cell r="I45">
            <v>1500</v>
          </cell>
          <cell r="J45">
            <v>1500</v>
          </cell>
        </row>
        <row r="48">
          <cell r="G48">
            <v>0</v>
          </cell>
          <cell r="H48"/>
        </row>
        <row r="50">
          <cell r="I50">
            <v>0</v>
          </cell>
          <cell r="J50">
            <v>0</v>
          </cell>
        </row>
        <row r="53">
          <cell r="G53">
            <v>2000</v>
          </cell>
          <cell r="H53"/>
        </row>
        <row r="61">
          <cell r="G61">
            <v>500</v>
          </cell>
          <cell r="H61"/>
        </row>
        <row r="65">
          <cell r="G65">
            <v>2100</v>
          </cell>
          <cell r="H65"/>
          <cell r="I65">
            <v>2300</v>
          </cell>
          <cell r="J65">
            <v>1814</v>
          </cell>
        </row>
        <row r="66">
          <cell r="G66">
            <v>7900</v>
          </cell>
          <cell r="H66"/>
          <cell r="I66">
            <v>4000</v>
          </cell>
        </row>
        <row r="69">
          <cell r="I69">
            <v>200</v>
          </cell>
          <cell r="J69">
            <v>200</v>
          </cell>
        </row>
        <row r="72">
          <cell r="E72">
            <v>16275</v>
          </cell>
          <cell r="F72">
            <v>17347</v>
          </cell>
          <cell r="G72">
            <v>19900</v>
          </cell>
        </row>
        <row r="73">
          <cell r="E73">
            <v>0</v>
          </cell>
          <cell r="F73">
            <v>928</v>
          </cell>
          <cell r="G73">
            <v>0</v>
          </cell>
        </row>
      </sheetData>
      <sheetData sheetId="8">
        <row r="21">
          <cell r="G21">
            <v>1000</v>
          </cell>
          <cell r="H21"/>
          <cell r="L21">
            <v>300</v>
          </cell>
        </row>
        <row r="22">
          <cell r="G22">
            <v>600</v>
          </cell>
          <cell r="H22"/>
          <cell r="K22">
            <v>1000</v>
          </cell>
          <cell r="L22">
            <v>700</v>
          </cell>
        </row>
        <row r="23">
          <cell r="G23">
            <v>1200</v>
          </cell>
          <cell r="H23"/>
          <cell r="K23">
            <v>0</v>
          </cell>
          <cell r="L23">
            <v>305</v>
          </cell>
        </row>
        <row r="24">
          <cell r="G24">
            <v>6100</v>
          </cell>
          <cell r="H24"/>
          <cell r="K24">
            <v>400</v>
          </cell>
          <cell r="L24">
            <v>95</v>
          </cell>
        </row>
        <row r="25">
          <cell r="G25">
            <v>1000</v>
          </cell>
          <cell r="H25"/>
        </row>
        <row r="26">
          <cell r="K26">
            <v>0</v>
          </cell>
          <cell r="L26">
            <v>225</v>
          </cell>
        </row>
        <row r="27">
          <cell r="K27">
            <v>600</v>
          </cell>
          <cell r="L27">
            <v>375</v>
          </cell>
        </row>
        <row r="28">
          <cell r="K28">
            <v>0</v>
          </cell>
          <cell r="L28">
            <v>1399</v>
          </cell>
        </row>
        <row r="29">
          <cell r="K29">
            <v>6100</v>
          </cell>
          <cell r="L29">
            <v>1235</v>
          </cell>
        </row>
        <row r="30">
          <cell r="K30">
            <v>0</v>
          </cell>
          <cell r="L30">
            <v>5466</v>
          </cell>
        </row>
        <row r="40">
          <cell r="G40">
            <v>2000</v>
          </cell>
          <cell r="H40"/>
        </row>
        <row r="41">
          <cell r="G41">
            <v>1500</v>
          </cell>
          <cell r="H41"/>
        </row>
        <row r="51">
          <cell r="G51">
            <v>4000</v>
          </cell>
          <cell r="H51"/>
        </row>
        <row r="54">
          <cell r="G54">
            <v>6690</v>
          </cell>
          <cell r="H54"/>
        </row>
        <row r="63">
          <cell r="E63">
            <v>17600</v>
          </cell>
          <cell r="F63">
            <v>13953</v>
          </cell>
          <cell r="G63">
            <v>20090</v>
          </cell>
        </row>
        <row r="64">
          <cell r="E64">
            <v>3400</v>
          </cell>
          <cell r="F64">
            <v>10327</v>
          </cell>
          <cell r="G64">
            <v>4000</v>
          </cell>
        </row>
      </sheetData>
      <sheetData sheetId="9">
        <row r="12">
          <cell r="E12">
            <v>88777</v>
          </cell>
          <cell r="F12">
            <v>112049</v>
          </cell>
        </row>
        <row r="18">
          <cell r="G18">
            <v>128084</v>
          </cell>
          <cell r="H18"/>
        </row>
        <row r="92">
          <cell r="E92">
            <v>88777</v>
          </cell>
          <cell r="F92">
            <v>112049</v>
          </cell>
          <cell r="G92">
            <v>128084</v>
          </cell>
        </row>
        <row r="93">
          <cell r="E93">
            <v>0</v>
          </cell>
          <cell r="F93">
            <v>0</v>
          </cell>
          <cell r="G93">
            <v>0</v>
          </cell>
        </row>
      </sheetData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ář 2015-2018"/>
      <sheetName val="Sumář celkem"/>
      <sheetName val="rezerva PO"/>
      <sheetName val="Celkem školství"/>
      <sheetName val=" Olomouc"/>
      <sheetName val="Prostějov"/>
      <sheetName val="Přerov"/>
      <sheetName val="Šumperk"/>
      <sheetName val="Jeseník"/>
      <sheetName val="Celkem sociální"/>
      <sheetName val="PO - sociálníci"/>
      <sheetName val="Celkem doprava"/>
      <sheetName val="PO - doprava"/>
      <sheetName val="Celkem kultura "/>
      <sheetName val="PO - kultura"/>
      <sheetName val="Celkem zdravotnictví"/>
      <sheetName val="PO - zdravotnictví"/>
    </sheetNames>
    <sheetDataSet>
      <sheetData sheetId="0"/>
      <sheetData sheetId="1">
        <row r="80">
          <cell r="H80">
            <v>559517</v>
          </cell>
        </row>
        <row r="81">
          <cell r="H81">
            <v>1117447</v>
          </cell>
        </row>
        <row r="82">
          <cell r="H82">
            <v>371250</v>
          </cell>
        </row>
        <row r="83">
          <cell r="H83">
            <v>9181</v>
          </cell>
        </row>
        <row r="84">
          <cell r="H84">
            <v>1970</v>
          </cell>
        </row>
        <row r="85">
          <cell r="H85">
            <v>1030</v>
          </cell>
        </row>
        <row r="86">
          <cell r="H86">
            <v>293529</v>
          </cell>
        </row>
        <row r="87">
          <cell r="H87">
            <v>184199</v>
          </cell>
        </row>
        <row r="88">
          <cell r="F88" t="str">
            <v>314</v>
          </cell>
        </row>
        <row r="89">
          <cell r="H89">
            <v>20</v>
          </cell>
        </row>
        <row r="90">
          <cell r="H90">
            <v>170000</v>
          </cell>
        </row>
        <row r="92">
          <cell r="H92">
            <v>895</v>
          </cell>
        </row>
        <row r="95">
          <cell r="H95">
            <v>1826000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ář 2015-2018"/>
      <sheetName val="Sumář celkem"/>
      <sheetName val="rezerva PO"/>
      <sheetName val="Celkem školství"/>
      <sheetName val=" Olomouc"/>
      <sheetName val="Prostějov"/>
      <sheetName val="Přerov"/>
      <sheetName val="Šumperk"/>
      <sheetName val="Jeseník"/>
      <sheetName val="Celkem sociální"/>
      <sheetName val="PO - sociálníci"/>
      <sheetName val="Celkem doprava"/>
      <sheetName val="PO - doprava"/>
      <sheetName val="Celkem kultura "/>
      <sheetName val="PO - kultura"/>
      <sheetName val="Celkem zdravotnictví"/>
      <sheetName val="PO - zdravotnictví"/>
    </sheetNames>
    <sheetDataSet>
      <sheetData sheetId="0"/>
      <sheetData sheetId="1">
        <row r="65">
          <cell r="H65">
            <v>612867</v>
          </cell>
        </row>
        <row r="66">
          <cell r="H66">
            <v>939668</v>
          </cell>
        </row>
        <row r="67">
          <cell r="H67">
            <v>437981</v>
          </cell>
        </row>
        <row r="68">
          <cell r="H68">
            <v>11530</v>
          </cell>
        </row>
        <row r="69">
          <cell r="H69">
            <v>1812</v>
          </cell>
        </row>
        <row r="70">
          <cell r="H70">
            <v>180</v>
          </cell>
        </row>
        <row r="71">
          <cell r="H71">
            <v>20</v>
          </cell>
        </row>
        <row r="72">
          <cell r="H72">
            <v>20000</v>
          </cell>
        </row>
        <row r="76">
          <cell r="H76">
            <v>595</v>
          </cell>
        </row>
        <row r="77">
          <cell r="H77">
            <v>1462292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ář 2015-2018"/>
      <sheetName val="Sumář celkem"/>
      <sheetName val="rezerva PO"/>
      <sheetName val="Celkem školství"/>
      <sheetName val=" Olomouc"/>
      <sheetName val="Prostějov"/>
      <sheetName val="Přerov"/>
      <sheetName val="Šumperk"/>
      <sheetName val="Jeseník"/>
      <sheetName val="Celkem sociální"/>
      <sheetName val="PO - sociálníci"/>
      <sheetName val="Celkem doprava"/>
      <sheetName val="PO - doprava"/>
      <sheetName val="Celkem kultura "/>
      <sheetName val="PO - kultura"/>
      <sheetName val="Celkem zdravotnictví"/>
      <sheetName val="PO - zdravotnictví"/>
    </sheetNames>
    <sheetDataSet>
      <sheetData sheetId="0"/>
      <sheetData sheetId="1">
        <row r="80">
          <cell r="K80">
            <v>522551</v>
          </cell>
        </row>
        <row r="81">
          <cell r="K81">
            <v>1051286</v>
          </cell>
        </row>
        <row r="82">
          <cell r="K82">
            <v>366351</v>
          </cell>
        </row>
        <row r="83">
          <cell r="K83">
            <v>11503</v>
          </cell>
        </row>
        <row r="84">
          <cell r="K84">
            <v>2267</v>
          </cell>
        </row>
        <row r="85">
          <cell r="K85">
            <v>280</v>
          </cell>
        </row>
        <row r="86">
          <cell r="K86">
            <v>132851</v>
          </cell>
        </row>
        <row r="87">
          <cell r="K87">
            <v>119766</v>
          </cell>
        </row>
        <row r="88">
          <cell r="K88">
            <v>54877</v>
          </cell>
        </row>
        <row r="89">
          <cell r="K89">
            <v>20</v>
          </cell>
        </row>
        <row r="90">
          <cell r="K90">
            <v>140000</v>
          </cell>
        </row>
        <row r="92">
          <cell r="K92">
            <v>865</v>
          </cell>
        </row>
        <row r="95">
          <cell r="K95">
            <v>2027000</v>
          </cell>
        </row>
      </sheetData>
      <sheetData sheetId="2">
        <row r="15">
          <cell r="E15">
            <v>20000</v>
          </cell>
          <cell r="G15">
            <v>21757</v>
          </cell>
          <cell r="I15">
            <v>30000</v>
          </cell>
        </row>
        <row r="16">
          <cell r="E16">
            <v>100000</v>
          </cell>
          <cell r="G16">
            <v>89011</v>
          </cell>
          <cell r="I16">
            <v>60000</v>
          </cell>
        </row>
        <row r="17">
          <cell r="E17">
            <v>50000</v>
          </cell>
          <cell r="G17">
            <v>50000</v>
          </cell>
          <cell r="I17">
            <v>0</v>
          </cell>
        </row>
      </sheetData>
      <sheetData sheetId="3">
        <row r="12">
          <cell r="C12">
            <v>275519</v>
          </cell>
          <cell r="D12">
            <v>257403</v>
          </cell>
          <cell r="E12">
            <v>244179</v>
          </cell>
          <cell r="F12">
            <v>220003</v>
          </cell>
        </row>
        <row r="13">
          <cell r="C13">
            <v>1399</v>
          </cell>
          <cell r="D13">
            <v>1517</v>
          </cell>
          <cell r="E13">
            <v>1891</v>
          </cell>
          <cell r="F13">
            <v>1931</v>
          </cell>
        </row>
        <row r="14">
          <cell r="C14">
            <v>74889</v>
          </cell>
          <cell r="D14">
            <v>88602</v>
          </cell>
          <cell r="E14">
            <v>88602</v>
          </cell>
          <cell r="F14">
            <v>90909</v>
          </cell>
        </row>
        <row r="15">
          <cell r="C15">
            <v>222</v>
          </cell>
          <cell r="D15">
            <v>740</v>
          </cell>
          <cell r="E15">
            <v>9521</v>
          </cell>
          <cell r="F15">
            <v>750</v>
          </cell>
        </row>
        <row r="16">
          <cell r="D16">
            <v>142487</v>
          </cell>
          <cell r="E16">
            <v>142487</v>
          </cell>
          <cell r="F16">
            <v>76945</v>
          </cell>
        </row>
        <row r="17">
          <cell r="D17">
            <v>89670</v>
          </cell>
          <cell r="E17">
            <v>89670</v>
          </cell>
          <cell r="F17">
            <v>71099</v>
          </cell>
        </row>
        <row r="18">
          <cell r="D18"/>
          <cell r="E18"/>
          <cell r="F18">
            <v>47162</v>
          </cell>
        </row>
      </sheetData>
      <sheetData sheetId="4"/>
      <sheetData sheetId="5"/>
      <sheetData sheetId="6"/>
      <sheetData sheetId="7"/>
      <sheetData sheetId="8"/>
      <sheetData sheetId="9">
        <row r="12">
          <cell r="C12">
            <v>156471</v>
          </cell>
          <cell r="D12">
            <v>47839</v>
          </cell>
          <cell r="E12">
            <v>47839</v>
          </cell>
          <cell r="F12">
            <v>7898</v>
          </cell>
        </row>
        <row r="13">
          <cell r="D13">
            <v>354579</v>
          </cell>
          <cell r="E13">
            <v>352290</v>
          </cell>
          <cell r="F13">
            <v>308788</v>
          </cell>
        </row>
        <row r="14">
          <cell r="D14">
            <v>52607</v>
          </cell>
          <cell r="E14">
            <v>52607</v>
          </cell>
          <cell r="F14">
            <v>56420</v>
          </cell>
        </row>
        <row r="15">
          <cell r="D15">
            <v>0</v>
          </cell>
          <cell r="E15">
            <v>4426</v>
          </cell>
          <cell r="F15">
            <v>0</v>
          </cell>
        </row>
        <row r="16">
          <cell r="D16">
            <v>106296</v>
          </cell>
          <cell r="E16">
            <v>106296</v>
          </cell>
          <cell r="F16">
            <v>32406</v>
          </cell>
        </row>
        <row r="17">
          <cell r="D17">
            <v>64039</v>
          </cell>
          <cell r="E17">
            <v>64039</v>
          </cell>
          <cell r="F17">
            <v>25017</v>
          </cell>
        </row>
        <row r="18">
          <cell r="D18">
            <v>0</v>
          </cell>
          <cell r="E18"/>
          <cell r="F18">
            <v>969</v>
          </cell>
        </row>
      </sheetData>
      <sheetData sheetId="10"/>
      <sheetData sheetId="11">
        <row r="12">
          <cell r="C12">
            <v>219730</v>
          </cell>
          <cell r="D12">
            <v>219730</v>
          </cell>
          <cell r="E12">
            <v>232977</v>
          </cell>
        </row>
        <row r="13">
          <cell r="C13">
            <v>267691</v>
          </cell>
          <cell r="D13">
            <v>279691</v>
          </cell>
          <cell r="E13">
            <v>291756</v>
          </cell>
        </row>
        <row r="14">
          <cell r="C14">
            <v>171528</v>
          </cell>
          <cell r="D14">
            <v>171528</v>
          </cell>
          <cell r="E14">
            <v>161988</v>
          </cell>
        </row>
        <row r="15">
          <cell r="C15">
            <v>0</v>
          </cell>
          <cell r="D15">
            <v>7946</v>
          </cell>
          <cell r="E15">
            <v>0</v>
          </cell>
        </row>
        <row r="16">
          <cell r="C16">
            <v>9345</v>
          </cell>
          <cell r="D16">
            <v>9345</v>
          </cell>
          <cell r="E16">
            <v>5500</v>
          </cell>
        </row>
        <row r="17">
          <cell r="C17">
            <v>6075</v>
          </cell>
          <cell r="D17">
            <v>6075</v>
          </cell>
          <cell r="E17">
            <v>5500</v>
          </cell>
        </row>
        <row r="18">
          <cell r="C18"/>
          <cell r="D18"/>
          <cell r="E18">
            <v>2210</v>
          </cell>
        </row>
        <row r="20">
          <cell r="C20">
            <v>660000</v>
          </cell>
          <cell r="D20">
            <v>660000</v>
          </cell>
          <cell r="E20">
            <v>660000</v>
          </cell>
        </row>
        <row r="21">
          <cell r="C21">
            <v>827000</v>
          </cell>
          <cell r="D21">
            <v>827000</v>
          </cell>
          <cell r="E21">
            <v>950000</v>
          </cell>
        </row>
        <row r="22">
          <cell r="C22">
            <v>22000</v>
          </cell>
          <cell r="D22">
            <v>22000</v>
          </cell>
          <cell r="E22">
            <v>24000</v>
          </cell>
        </row>
        <row r="23">
          <cell r="C23">
            <v>200000</v>
          </cell>
          <cell r="D23">
            <v>200000</v>
          </cell>
          <cell r="E23">
            <v>255000</v>
          </cell>
        </row>
        <row r="24">
          <cell r="C24">
            <v>37000</v>
          </cell>
          <cell r="D24">
            <v>37000</v>
          </cell>
          <cell r="E24">
            <v>40000</v>
          </cell>
        </row>
        <row r="25">
          <cell r="C25">
            <v>35000</v>
          </cell>
          <cell r="D25">
            <v>39081</v>
          </cell>
          <cell r="E25">
            <v>43000</v>
          </cell>
        </row>
        <row r="26">
          <cell r="C26">
            <v>45000</v>
          </cell>
          <cell r="D26">
            <v>45000</v>
          </cell>
          <cell r="E26">
            <v>55000</v>
          </cell>
        </row>
      </sheetData>
      <sheetData sheetId="12"/>
      <sheetData sheetId="13">
        <row r="14">
          <cell r="C14">
            <v>43002</v>
          </cell>
          <cell r="D14">
            <v>21362</v>
          </cell>
          <cell r="E14">
            <v>21458</v>
          </cell>
          <cell r="F14">
            <v>25379</v>
          </cell>
        </row>
        <row r="15">
          <cell r="C15">
            <v>66420</v>
          </cell>
          <cell r="D15">
            <v>170378</v>
          </cell>
          <cell r="E15">
            <v>170378</v>
          </cell>
          <cell r="F15">
            <v>184663</v>
          </cell>
        </row>
        <row r="16">
          <cell r="C16">
            <v>18718</v>
          </cell>
          <cell r="D16">
            <v>15980</v>
          </cell>
          <cell r="E16">
            <v>15980</v>
          </cell>
          <cell r="F16">
            <v>20322</v>
          </cell>
        </row>
        <row r="17">
          <cell r="C17">
            <v>302</v>
          </cell>
          <cell r="D17">
            <v>5765</v>
          </cell>
          <cell r="E17">
            <v>7939</v>
          </cell>
          <cell r="F17">
            <v>8077</v>
          </cell>
        </row>
        <row r="18">
          <cell r="D18">
            <v>1970</v>
          </cell>
          <cell r="E18">
            <v>1970</v>
          </cell>
          <cell r="F18">
            <v>2267</v>
          </cell>
        </row>
        <row r="19">
          <cell r="D19">
            <v>1030</v>
          </cell>
          <cell r="E19">
            <v>1030</v>
          </cell>
          <cell r="F19">
            <v>280</v>
          </cell>
        </row>
        <row r="20">
          <cell r="D20">
            <v>11045</v>
          </cell>
          <cell r="E20">
            <v>11045</v>
          </cell>
          <cell r="F20">
            <v>6300</v>
          </cell>
        </row>
        <row r="21">
          <cell r="D21">
            <v>9621</v>
          </cell>
          <cell r="E21">
            <v>9621</v>
          </cell>
          <cell r="F21">
            <v>8650</v>
          </cell>
        </row>
        <row r="22">
          <cell r="D22"/>
          <cell r="E22"/>
          <cell r="F22">
            <v>2822</v>
          </cell>
        </row>
        <row r="24">
          <cell r="D24">
            <v>20</v>
          </cell>
          <cell r="F24">
            <v>20</v>
          </cell>
        </row>
        <row r="28">
          <cell r="D28">
            <v>895</v>
          </cell>
          <cell r="F28">
            <v>865</v>
          </cell>
        </row>
      </sheetData>
      <sheetData sheetId="14">
        <row r="20">
          <cell r="AA20">
            <v>1074</v>
          </cell>
        </row>
      </sheetData>
      <sheetData sheetId="15">
        <row r="11">
          <cell r="C11">
            <v>74123</v>
          </cell>
          <cell r="D11">
            <v>13183</v>
          </cell>
          <cell r="E11">
            <v>11888</v>
          </cell>
          <cell r="F11">
            <v>36294</v>
          </cell>
        </row>
        <row r="12">
          <cell r="C12">
            <v>129005</v>
          </cell>
          <cell r="D12">
            <v>323282</v>
          </cell>
          <cell r="E12">
            <v>323282</v>
          </cell>
          <cell r="F12">
            <v>264148</v>
          </cell>
        </row>
        <row r="13">
          <cell r="C13">
            <v>14538</v>
          </cell>
          <cell r="D13">
            <v>42533</v>
          </cell>
          <cell r="E13">
            <v>42533</v>
          </cell>
          <cell r="F13">
            <v>36712</v>
          </cell>
        </row>
        <row r="14">
          <cell r="C14"/>
          <cell r="D14">
            <v>2676</v>
          </cell>
          <cell r="E14">
            <v>2676</v>
          </cell>
          <cell r="F14">
            <v>2676</v>
          </cell>
        </row>
        <row r="15">
          <cell r="D15">
            <v>24356</v>
          </cell>
          <cell r="E15">
            <v>24591</v>
          </cell>
          <cell r="F15">
            <v>11700</v>
          </cell>
        </row>
        <row r="16">
          <cell r="D16">
            <v>14794</v>
          </cell>
          <cell r="E16">
            <v>14988</v>
          </cell>
          <cell r="F16">
            <v>9500</v>
          </cell>
        </row>
        <row r="17">
          <cell r="D17">
            <v>0</v>
          </cell>
          <cell r="E17">
            <v>0</v>
          </cell>
          <cell r="F17">
            <v>1714</v>
          </cell>
        </row>
        <row r="18">
          <cell r="C18">
            <v>8144</v>
          </cell>
        </row>
        <row r="21">
          <cell r="C21"/>
        </row>
        <row r="22">
          <cell r="C22"/>
        </row>
      </sheetData>
      <sheetData sheetId="1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J - 199"/>
    </sheetNames>
    <sheetDataSet>
      <sheetData sheetId="0">
        <row r="15">
          <cell r="E15">
            <v>11790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J - 199"/>
    </sheetNames>
    <sheetDataSet>
      <sheetData sheetId="0">
        <row r="15">
          <cell r="G15">
            <v>12818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J - 199"/>
    </sheetNames>
    <sheetDataSet>
      <sheetData sheetId="0">
        <row r="15">
          <cell r="G15">
            <v>13417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J - 99"/>
    </sheetNames>
    <sheetDataSet>
      <sheetData sheetId="0">
        <row r="15">
          <cell r="D15">
            <v>34000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J - 99"/>
    </sheetNames>
    <sheetDataSet>
      <sheetData sheetId="0">
        <row r="14">
          <cell r="D14">
            <v>34300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říjmy"/>
      <sheetName val="daně"/>
      <sheetName val="odbory"/>
      <sheetName val="odbory1"/>
      <sheetName val="PO - odvody 100%"/>
      <sheetName val="predikce"/>
    </sheetNames>
    <sheetDataSet>
      <sheetData sheetId="0">
        <row r="12">
          <cell r="F12">
            <v>7100000</v>
          </cell>
        </row>
        <row r="13">
          <cell r="F13">
            <v>1330</v>
          </cell>
        </row>
        <row r="14">
          <cell r="F14">
            <v>265</v>
          </cell>
        </row>
        <row r="15">
          <cell r="F15">
            <v>100</v>
          </cell>
        </row>
        <row r="16">
          <cell r="F16">
            <v>246000</v>
          </cell>
        </row>
        <row r="17">
          <cell r="F17">
            <v>25</v>
          </cell>
        </row>
        <row r="18">
          <cell r="F18">
            <v>221.3</v>
          </cell>
        </row>
        <row r="19">
          <cell r="F19">
            <v>37853</v>
          </cell>
        </row>
        <row r="20">
          <cell r="F20">
            <v>120</v>
          </cell>
        </row>
        <row r="21">
          <cell r="F21">
            <v>1500</v>
          </cell>
        </row>
        <row r="22">
          <cell r="F22">
            <v>2310.2999999999997</v>
          </cell>
        </row>
        <row r="23">
          <cell r="F23">
            <v>100</v>
          </cell>
        </row>
        <row r="24">
          <cell r="F24">
            <v>815.30000000000007</v>
          </cell>
        </row>
        <row r="25">
          <cell r="F25">
            <v>5</v>
          </cell>
        </row>
        <row r="26">
          <cell r="F26">
            <v>150</v>
          </cell>
        </row>
        <row r="27">
          <cell r="F27">
            <v>7000</v>
          </cell>
        </row>
        <row r="28">
          <cell r="F28">
            <v>90</v>
          </cell>
        </row>
        <row r="29">
          <cell r="F29">
            <v>30164.1</v>
          </cell>
        </row>
        <row r="31">
          <cell r="F31">
            <v>141578</v>
          </cell>
        </row>
        <row r="32">
          <cell r="F32">
            <v>130000</v>
          </cell>
        </row>
        <row r="33">
          <cell r="F33">
            <v>125000</v>
          </cell>
        </row>
        <row r="43">
          <cell r="F43">
            <v>13417</v>
          </cell>
        </row>
        <row r="61">
          <cell r="F61">
            <v>34300</v>
          </cell>
        </row>
      </sheetData>
      <sheetData sheetId="1">
        <row r="10">
          <cell r="C10">
            <v>1028400</v>
          </cell>
          <cell r="D10">
            <v>1028400</v>
          </cell>
          <cell r="J10">
            <v>1100000</v>
          </cell>
        </row>
        <row r="11">
          <cell r="C11">
            <v>69300</v>
          </cell>
          <cell r="D11">
            <v>69300</v>
          </cell>
          <cell r="J11">
            <v>70000</v>
          </cell>
        </row>
        <row r="12">
          <cell r="C12">
            <v>215800</v>
          </cell>
          <cell r="D12">
            <v>215800</v>
          </cell>
          <cell r="J12">
            <v>230000</v>
          </cell>
        </row>
        <row r="13">
          <cell r="C13">
            <v>1517000</v>
          </cell>
          <cell r="D13">
            <v>1517000</v>
          </cell>
          <cell r="J13">
            <v>2000000</v>
          </cell>
        </row>
        <row r="14">
          <cell r="C14">
            <v>3669500</v>
          </cell>
          <cell r="D14">
            <v>3669500</v>
          </cell>
          <cell r="J14">
            <v>3700000</v>
          </cell>
        </row>
      </sheetData>
      <sheetData sheetId="2">
        <row r="7">
          <cell r="D7">
            <v>1190</v>
          </cell>
          <cell r="E7">
            <v>1190</v>
          </cell>
          <cell r="F7">
            <v>1330</v>
          </cell>
        </row>
        <row r="8">
          <cell r="D8">
            <v>1540</v>
          </cell>
          <cell r="E8">
            <v>1539</v>
          </cell>
          <cell r="F8">
            <v>265</v>
          </cell>
        </row>
        <row r="9">
          <cell r="D9">
            <v>90</v>
          </cell>
          <cell r="E9">
            <v>90</v>
          </cell>
          <cell r="F9">
            <v>100</v>
          </cell>
        </row>
        <row r="10">
          <cell r="D10">
            <v>254083</v>
          </cell>
          <cell r="E10">
            <v>254083</v>
          </cell>
          <cell r="F10">
            <v>246000</v>
          </cell>
        </row>
        <row r="11">
          <cell r="D11">
            <v>25</v>
          </cell>
          <cell r="E11">
            <v>25</v>
          </cell>
          <cell r="F11">
            <v>25</v>
          </cell>
        </row>
        <row r="12">
          <cell r="D12">
            <v>223.3</v>
          </cell>
          <cell r="E12">
            <v>223.3</v>
          </cell>
          <cell r="F12">
            <v>221.3</v>
          </cell>
        </row>
        <row r="13">
          <cell r="D13">
            <v>37699</v>
          </cell>
          <cell r="E13">
            <v>37700</v>
          </cell>
          <cell r="F13">
            <v>37853</v>
          </cell>
        </row>
        <row r="14">
          <cell r="D14">
            <v>142</v>
          </cell>
          <cell r="E14">
            <v>142</v>
          </cell>
          <cell r="F14">
            <v>120</v>
          </cell>
        </row>
        <row r="15">
          <cell r="D15">
            <v>1400</v>
          </cell>
          <cell r="E15">
            <v>1400</v>
          </cell>
          <cell r="F15">
            <v>1500</v>
          </cell>
        </row>
        <row r="16">
          <cell r="D16">
            <v>2210.2999999999997</v>
          </cell>
          <cell r="E16">
            <v>2217.0499999999997</v>
          </cell>
          <cell r="F16">
            <v>2310.2999999999997</v>
          </cell>
        </row>
        <row r="17">
          <cell r="D17">
            <v>20</v>
          </cell>
          <cell r="E17">
            <v>20</v>
          </cell>
          <cell r="F17">
            <v>100</v>
          </cell>
        </row>
        <row r="18">
          <cell r="D18">
            <v>810.30000000000007</v>
          </cell>
          <cell r="E18">
            <v>1908.2999999999997</v>
          </cell>
          <cell r="F18">
            <v>815.30000000000007</v>
          </cell>
        </row>
        <row r="19">
          <cell r="D19">
            <v>1</v>
          </cell>
          <cell r="E19">
            <v>1</v>
          </cell>
          <cell r="F19">
            <v>5</v>
          </cell>
        </row>
        <row r="20">
          <cell r="D20">
            <v>500</v>
          </cell>
          <cell r="E20">
            <v>500</v>
          </cell>
          <cell r="F20">
            <v>150</v>
          </cell>
        </row>
        <row r="21">
          <cell r="D21">
            <v>9500</v>
          </cell>
          <cell r="E21">
            <v>9500</v>
          </cell>
          <cell r="F21">
            <v>7000</v>
          </cell>
        </row>
        <row r="22">
          <cell r="D22">
            <v>10</v>
          </cell>
          <cell r="E22">
            <v>10</v>
          </cell>
          <cell r="F22">
            <v>90</v>
          </cell>
        </row>
        <row r="23">
          <cell r="D23">
            <v>29697.5</v>
          </cell>
          <cell r="E23">
            <v>29697.5</v>
          </cell>
          <cell r="F23">
            <v>30164.1</v>
          </cell>
        </row>
        <row r="24">
          <cell r="F24">
            <v>0</v>
          </cell>
        </row>
        <row r="25">
          <cell r="D25">
            <v>101479</v>
          </cell>
          <cell r="E25">
            <v>101479</v>
          </cell>
          <cell r="F25">
            <v>130000</v>
          </cell>
        </row>
        <row r="26">
          <cell r="D26">
            <v>98521</v>
          </cell>
          <cell r="E26">
            <v>98521</v>
          </cell>
          <cell r="F26">
            <v>125000</v>
          </cell>
        </row>
        <row r="236">
          <cell r="H236">
            <v>1293</v>
          </cell>
          <cell r="I236">
            <v>1293</v>
          </cell>
        </row>
      </sheetData>
      <sheetData sheetId="3"/>
      <sheetData sheetId="4"/>
      <sheetData sheetId="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J - 99"/>
    </sheetNames>
    <sheetDataSet>
      <sheetData sheetId="0">
        <row r="15">
          <cell r="F15">
            <v>34300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uhrn"/>
    </sheetNames>
    <sheetDataSet>
      <sheetData sheetId="0">
        <row r="5">
          <cell r="J5">
            <v>600808</v>
          </cell>
        </row>
        <row r="8">
          <cell r="J8">
            <v>885898.85</v>
          </cell>
        </row>
        <row r="12">
          <cell r="J12">
            <v>0</v>
          </cell>
        </row>
        <row r="13">
          <cell r="H13">
            <v>484721.35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uhrn "/>
      <sheetName val="Souhrn dle oblastí"/>
    </sheetNames>
    <sheetDataSet>
      <sheetData sheetId="0">
        <row r="5">
          <cell r="H5">
            <v>19233</v>
          </cell>
        </row>
        <row r="6">
          <cell r="H6">
            <v>283300</v>
          </cell>
        </row>
        <row r="7">
          <cell r="H7">
            <v>58980</v>
          </cell>
        </row>
        <row r="8">
          <cell r="H8">
            <v>574385</v>
          </cell>
        </row>
        <row r="9">
          <cell r="H9">
            <v>24471</v>
          </cell>
        </row>
        <row r="10">
          <cell r="D10">
            <v>31210</v>
          </cell>
          <cell r="H10">
            <v>62725</v>
          </cell>
        </row>
        <row r="11">
          <cell r="D11">
            <v>488136</v>
          </cell>
          <cell r="H11">
            <v>1003025</v>
          </cell>
        </row>
        <row r="12">
          <cell r="D12">
            <v>16380</v>
          </cell>
          <cell r="H12">
            <v>197115</v>
          </cell>
        </row>
      </sheetData>
      <sheetData sheetId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ůstatek na účtu"/>
      <sheetName val="Splátky úvěrů"/>
    </sheetNames>
    <sheetDataSet>
      <sheetData sheetId="0">
        <row r="13">
          <cell r="G13">
            <v>0</v>
          </cell>
        </row>
      </sheetData>
      <sheetData sheetId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ůstatek na účtu a zapojení úvě"/>
      <sheetName val="Splátky úvěrů"/>
    </sheetNames>
    <sheetDataSet>
      <sheetData sheetId="0">
        <row r="16">
          <cell r="G16">
            <v>850000</v>
          </cell>
        </row>
      </sheetData>
      <sheetData sheetId="1">
        <row r="15">
          <cell r="G15">
            <v>244674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ůstatek na účtu a zapojení úvě"/>
      <sheetName val="Splátky úvěrů"/>
    </sheetNames>
    <sheetDataSet>
      <sheetData sheetId="0"/>
      <sheetData sheetId="1">
        <row r="15">
          <cell r="E15">
            <v>271341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kapitulace"/>
      <sheetName val="08"/>
      <sheetName val="09"/>
      <sheetName val="10"/>
      <sheetName val="11"/>
      <sheetName val="12"/>
      <sheetName val="13"/>
      <sheetName val="14"/>
      <sheetName val="18"/>
      <sheetName val="07 - ID"/>
      <sheetName val="I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8">
          <cell r="G18">
            <v>88777</v>
          </cell>
          <cell r="H18"/>
        </row>
      </sheetData>
      <sheetData sheetId="1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ouhrn"/>
      <sheetName val="Oblast školství - ORJ 17"/>
      <sheetName val="Oblast kultury - ORJ 17  "/>
    </sheetNames>
    <sheetDataSet>
      <sheetData sheetId="0">
        <row r="12">
          <cell r="G12">
            <v>19233</v>
          </cell>
        </row>
      </sheetData>
      <sheetData sheetId="1"/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ouhrn"/>
      <sheetName val="Oblast školství - ORJ 17"/>
      <sheetName val="Oblast sociální - ORJ 17 "/>
      <sheetName val="Oblast dopravy - ORJ 12 "/>
      <sheetName val="Oblast dopravy - ORJ 17 "/>
      <sheetName val="Oblast kultury - ORJ 17"/>
      <sheetName val="Oblast zdravotnictví - ORJ 17 "/>
      <sheetName val="Oblast zdrav. SMN - ORJ 17"/>
      <sheetName val="Oblast ostatní - ORJ 17"/>
    </sheetNames>
    <sheetDataSet>
      <sheetData sheetId="0">
        <row r="14">
          <cell r="F14">
            <v>4000</v>
          </cell>
          <cell r="G14">
            <v>279300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ouhrn"/>
      <sheetName val="Oblast školství - ORJ 10 ž"/>
      <sheetName val="Oblast školství - ORJ 17"/>
      <sheetName val="Oblast sociální - ORJ 11 ž"/>
      <sheetName val="Oblast kultury - ORJ 13ž"/>
      <sheetName val="Oblast kultury - ORJ 17ž "/>
      <sheetName val="Oblast zdravotnictví - ORJ 14 ž"/>
      <sheetName val="Oblast KÚOK - ORJ 03"/>
    </sheetNames>
    <sheetDataSet>
      <sheetData sheetId="0">
        <row r="16">
          <cell r="G16">
            <v>58980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říjmy"/>
      <sheetName val="daně"/>
      <sheetName val="odbory"/>
      <sheetName val="odbory1"/>
      <sheetName val="PO - odvody"/>
      <sheetName val="predikce"/>
    </sheetNames>
    <sheetDataSet>
      <sheetData sheetId="0">
        <row r="13">
          <cell r="F13">
            <v>1185</v>
          </cell>
        </row>
        <row r="14">
          <cell r="F14">
            <v>1420</v>
          </cell>
        </row>
        <row r="15">
          <cell r="F15">
            <v>160</v>
          </cell>
        </row>
        <row r="16">
          <cell r="F16">
            <v>267458</v>
          </cell>
        </row>
        <row r="17">
          <cell r="F17">
            <v>25</v>
          </cell>
        </row>
        <row r="18">
          <cell r="F18">
            <v>223</v>
          </cell>
        </row>
        <row r="19">
          <cell r="F19">
            <v>32868.1</v>
          </cell>
        </row>
        <row r="20">
          <cell r="F20">
            <v>142.19999999999999</v>
          </cell>
        </row>
        <row r="21">
          <cell r="F21">
            <v>800</v>
          </cell>
        </row>
        <row r="22">
          <cell r="F22">
            <v>2120</v>
          </cell>
        </row>
        <row r="23">
          <cell r="F23">
            <v>1598</v>
          </cell>
        </row>
        <row r="24">
          <cell r="F24">
            <v>5</v>
          </cell>
        </row>
        <row r="25">
          <cell r="F25">
            <v>225</v>
          </cell>
        </row>
        <row r="26">
          <cell r="F26">
            <v>164292</v>
          </cell>
        </row>
        <row r="27">
          <cell r="F27">
            <v>680</v>
          </cell>
        </row>
        <row r="28">
          <cell r="F28">
            <v>1</v>
          </cell>
        </row>
        <row r="29">
          <cell r="F29">
            <v>80</v>
          </cell>
        </row>
        <row r="30">
          <cell r="F30">
            <v>0</v>
          </cell>
        </row>
        <row r="31">
          <cell r="F31">
            <v>300</v>
          </cell>
        </row>
        <row r="32">
          <cell r="F32">
            <v>1150</v>
          </cell>
        </row>
        <row r="33">
          <cell r="F33">
            <v>7200</v>
          </cell>
        </row>
        <row r="34">
          <cell r="F34">
            <v>5</v>
          </cell>
        </row>
        <row r="35">
          <cell r="F35">
            <v>500.3</v>
          </cell>
        </row>
        <row r="36">
          <cell r="F36">
            <v>122749.4</v>
          </cell>
        </row>
        <row r="47">
          <cell r="F47">
            <v>12818</v>
          </cell>
        </row>
        <row r="65">
          <cell r="F65">
            <v>34300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ouhrn"/>
      <sheetName val="Oblast školství - ORJ 10 ž "/>
      <sheetName val="Oblast školství - ORJ 17 ž "/>
      <sheetName val="Oblast školství - ORJ 17  "/>
      <sheetName val="Oblast sociální - ORJ 11 ž"/>
      <sheetName val="Oblast sociální - ORJ 17  ž"/>
      <sheetName val="Oblast sociální - ORJ 17 "/>
      <sheetName val="Oblast dopravy - ORJ 12"/>
      <sheetName val="Oblast kultury - ORJ 13ž"/>
      <sheetName val="Oblast kultury - ORJ 17ž "/>
      <sheetName val="Oblast zdravotnictví - ORJ 14 ž"/>
      <sheetName val="Oblast zdravotnictví - ORJ 17ž"/>
      <sheetName val="Oblast zdravotnictví - ORJ 17"/>
      <sheetName val="Oblast zdrav. SMN - ORJ 17"/>
      <sheetName val="Oblast KÚOK - ORJ 03"/>
      <sheetName val="Oblast IT investice ORJ 06 "/>
      <sheetName val="Oblast krizého řízení-ORJ 18"/>
    </sheetNames>
    <sheetDataSet>
      <sheetData sheetId="0">
        <row r="25">
          <cell r="E25">
            <v>0</v>
          </cell>
          <cell r="F25">
            <v>24407</v>
          </cell>
          <cell r="G25">
            <v>549978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ouhrn"/>
      <sheetName val="ORJ 10 - nákupy"/>
      <sheetName val="ORJ 11 - nákupy"/>
      <sheetName val="ORJ 12 - nákupy"/>
      <sheetName val="ORJ 13 - nákupy"/>
      <sheetName val="ORJ 14 - nákupy"/>
    </sheetNames>
    <sheetDataSet>
      <sheetData sheetId="0">
        <row r="13">
          <cell r="G13">
            <v>24471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ouhrn"/>
      <sheetName val="Školství - ORJ 10"/>
      <sheetName val="Školství - ORJ 64"/>
      <sheetName val="Sociální - ORJ 60"/>
      <sheetName val="Sociální - ORJ 64"/>
      <sheetName val="ORJ 64 kultura"/>
      <sheetName val="Životní prostředí - ORJ 59"/>
      <sheetName val="ORJ 33 - podpora venkova"/>
      <sheetName val="ORJ 74 region. rozvoj"/>
      <sheetName val="Projekt. příprava - ORJ 30"/>
    </sheetNames>
    <sheetDataSet>
      <sheetData sheetId="0">
        <row r="19">
          <cell r="D19">
            <v>31210</v>
          </cell>
          <cell r="G19">
            <v>31515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ouhrn"/>
      <sheetName val="Oblast školství - ORJ 10"/>
      <sheetName val="Oblast školství - ORJ 52"/>
      <sheetName val="Oblast školství - ORJ 59"/>
      <sheetName val="Oblast sociální - ORJ 52 "/>
      <sheetName val="Oblast dopravy - ORJ 12"/>
      <sheetName val="Oblast dopravy - ORJ 50"/>
      <sheetName val="Oblast kultury - ORJ 52"/>
      <sheetName val="Oblast kultury - ORJ 59 "/>
      <sheetName val="Oblast zdravotnictví - ORJ 52"/>
      <sheetName val="Oblast zdravotnictví - ORJ 59 "/>
      <sheetName val="Oblast ostatní - ORJ 52 "/>
      <sheetName val="Oblast ICT technologie - ORJ 59"/>
      <sheetName val="územní plánování - ORJ 59 "/>
    </sheetNames>
    <sheetDataSet>
      <sheetData sheetId="0">
        <row r="19">
          <cell r="C19">
            <v>488136</v>
          </cell>
          <cell r="F19">
            <v>1000</v>
          </cell>
          <cell r="G19">
            <v>513889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kapitulace - Energetika"/>
      <sheetName val="Energetické služby - ORJ 08"/>
      <sheetName val="Oblast KOTELNY - ORJ 17 "/>
      <sheetName val="Oblast KOTELNY - ORJ 13"/>
      <sheetName val="Oblast REÚO - ORJ 17 "/>
      <sheetName val="Oblast REÚO - ORJ 13"/>
      <sheetName val="Oblast OKNA - ORJ 10"/>
      <sheetName val="Oblast FVE - ORJ 52 "/>
      <sheetName val="Oblast FVE - ORJ 10"/>
      <sheetName val="Oblast FVE - ORJ 14"/>
    </sheetNames>
    <sheetDataSet>
      <sheetData sheetId="0">
        <row r="38">
          <cell r="D38">
            <v>16380</v>
          </cell>
          <cell r="E38">
            <v>180735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lkem"/>
      <sheetName val="01"/>
      <sheetName val="03"/>
      <sheetName val="04"/>
      <sheetName val="06"/>
      <sheetName val="07"/>
      <sheetName val="08"/>
      <sheetName val="09"/>
      <sheetName val="10"/>
      <sheetName val="11"/>
      <sheetName val="12"/>
      <sheetName val="13"/>
      <sheetName val="14"/>
      <sheetName val="16"/>
      <sheetName val="17"/>
      <sheetName val="18"/>
      <sheetName val="19"/>
      <sheetName val="20"/>
      <sheetName val="6"/>
    </sheetNames>
    <sheetDataSet>
      <sheetData sheetId="0">
        <row r="24">
          <cell r="D24">
            <v>529104</v>
          </cell>
          <cell r="E24">
            <v>561055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lkem"/>
      <sheetName val="01"/>
      <sheetName val="03"/>
      <sheetName val="04"/>
      <sheetName val="06"/>
      <sheetName val="07"/>
      <sheetName val="08"/>
      <sheetName val="09"/>
      <sheetName val="10"/>
      <sheetName val="11"/>
      <sheetName val="12"/>
      <sheetName val="13"/>
      <sheetName val="14"/>
      <sheetName val="17"/>
      <sheetName val="18"/>
      <sheetName val="19"/>
      <sheetName val="20"/>
      <sheetName val="03 pod čarou"/>
    </sheetNames>
    <sheetDataSet>
      <sheetData sheetId="0">
        <row r="23">
          <cell r="H23">
            <v>884329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ložky s mimořádným nárůstem"/>
      <sheetName val="Výčíslení úspory"/>
      <sheetName val="celkem"/>
      <sheetName val="01"/>
      <sheetName val="02"/>
      <sheetName val="03"/>
      <sheetName val="04"/>
      <sheetName val="06"/>
      <sheetName val="07"/>
      <sheetName val="08"/>
      <sheetName val="09"/>
      <sheetName val="10"/>
      <sheetName val="11"/>
      <sheetName val="12"/>
      <sheetName val="13"/>
      <sheetName val="14"/>
      <sheetName val="18"/>
      <sheetName val="17"/>
      <sheetName val="19"/>
      <sheetName val="20"/>
      <sheetName val="98"/>
    </sheetNames>
    <sheetDataSet>
      <sheetData sheetId="0"/>
      <sheetData sheetId="1"/>
      <sheetData sheetId="2">
        <row r="62">
          <cell r="F62">
            <v>811274</v>
          </cell>
        </row>
        <row r="63">
          <cell r="F63">
            <v>412436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ložky s mimořádným nárůstem"/>
      <sheetName val="Výčíslení úspory"/>
      <sheetName val="celkem"/>
      <sheetName val="01"/>
      <sheetName val="02"/>
      <sheetName val="03"/>
      <sheetName val="04"/>
      <sheetName val="06"/>
      <sheetName val="07"/>
      <sheetName val="08"/>
      <sheetName val="09"/>
      <sheetName val="10"/>
      <sheetName val="11"/>
      <sheetName val="12"/>
      <sheetName val="13"/>
      <sheetName val="14"/>
      <sheetName val="17"/>
      <sheetName val="18"/>
      <sheetName val="19"/>
      <sheetName val="20"/>
      <sheetName val="98"/>
    </sheetNames>
    <sheetDataSet>
      <sheetData sheetId="0"/>
      <sheetData sheetId="1"/>
      <sheetData sheetId="2">
        <row r="62">
          <cell r="H62">
            <v>775798</v>
          </cell>
        </row>
        <row r="63">
          <cell r="H63">
            <v>447760</v>
          </cell>
        </row>
      </sheetData>
      <sheetData sheetId="3">
        <row r="9">
          <cell r="E9">
            <v>36971</v>
          </cell>
          <cell r="F9">
            <v>36971</v>
          </cell>
          <cell r="G9">
            <v>39210</v>
          </cell>
        </row>
        <row r="16">
          <cell r="E16">
            <v>46761</v>
          </cell>
          <cell r="F16">
            <v>46910</v>
          </cell>
          <cell r="G16">
            <v>48558</v>
          </cell>
        </row>
        <row r="181">
          <cell r="E181">
            <v>46761</v>
          </cell>
          <cell r="F181">
            <v>46910</v>
          </cell>
          <cell r="G181">
            <v>48558</v>
          </cell>
        </row>
      </sheetData>
      <sheetData sheetId="4">
        <row r="8">
          <cell r="E8">
            <v>375465</v>
          </cell>
          <cell r="F8">
            <v>385493</v>
          </cell>
          <cell r="G8">
            <v>408550</v>
          </cell>
        </row>
        <row r="13">
          <cell r="E13">
            <v>394343</v>
          </cell>
          <cell r="F13">
            <v>405295</v>
          </cell>
          <cell r="G13">
            <v>430315</v>
          </cell>
        </row>
        <row r="80">
          <cell r="E80">
            <v>394343</v>
          </cell>
          <cell r="F80">
            <v>405295</v>
          </cell>
          <cell r="G80">
            <v>430315</v>
          </cell>
        </row>
        <row r="81">
          <cell r="E81">
            <v>0</v>
          </cell>
          <cell r="F81">
            <v>0</v>
          </cell>
          <cell r="G81">
            <v>0</v>
          </cell>
        </row>
      </sheetData>
      <sheetData sheetId="5">
        <row r="8">
          <cell r="E8"/>
          <cell r="F8"/>
        </row>
        <row r="13">
          <cell r="E13">
            <v>118632</v>
          </cell>
          <cell r="F13">
            <v>119560</v>
          </cell>
          <cell r="G13">
            <v>126807</v>
          </cell>
        </row>
        <row r="174">
          <cell r="E174">
            <v>118632</v>
          </cell>
          <cell r="F174">
            <v>119560</v>
          </cell>
          <cell r="G174">
            <v>126807</v>
          </cell>
        </row>
      </sheetData>
      <sheetData sheetId="6">
        <row r="12">
          <cell r="E12">
            <v>50940</v>
          </cell>
          <cell r="F12">
            <v>56294</v>
          </cell>
          <cell r="G12">
            <v>51540</v>
          </cell>
        </row>
        <row r="94">
          <cell r="E94">
            <v>42035</v>
          </cell>
          <cell r="F94">
            <v>42389</v>
          </cell>
          <cell r="G94">
            <v>45555</v>
          </cell>
        </row>
        <row r="95">
          <cell r="E95">
            <v>8905</v>
          </cell>
          <cell r="F95">
            <v>13905</v>
          </cell>
          <cell r="G95">
            <v>5985</v>
          </cell>
        </row>
      </sheetData>
      <sheetData sheetId="7">
        <row r="10">
          <cell r="E10">
            <v>41055</v>
          </cell>
          <cell r="F10">
            <v>43269</v>
          </cell>
          <cell r="G10">
            <v>45111</v>
          </cell>
        </row>
        <row r="64">
          <cell r="E64">
            <v>41055</v>
          </cell>
          <cell r="F64">
            <v>43269</v>
          </cell>
          <cell r="G64">
            <v>45111</v>
          </cell>
        </row>
        <row r="65">
          <cell r="E65">
            <v>0</v>
          </cell>
          <cell r="F65">
            <v>0</v>
          </cell>
          <cell r="G65">
            <v>0</v>
          </cell>
        </row>
      </sheetData>
      <sheetData sheetId="8">
        <row r="12">
          <cell r="E12">
            <v>334064</v>
          </cell>
          <cell r="F12">
            <v>320332</v>
          </cell>
          <cell r="G12">
            <v>252715</v>
          </cell>
        </row>
        <row r="53">
          <cell r="E53">
            <v>334064</v>
          </cell>
          <cell r="F53">
            <v>320332</v>
          </cell>
          <cell r="G53">
            <v>252715</v>
          </cell>
        </row>
      </sheetData>
      <sheetData sheetId="9">
        <row r="16">
          <cell r="E16">
            <v>39023</v>
          </cell>
          <cell r="F16">
            <v>132630</v>
          </cell>
          <cell r="G16">
            <v>37442</v>
          </cell>
        </row>
        <row r="257">
          <cell r="E257">
            <v>39023</v>
          </cell>
          <cell r="F257">
            <v>132630</v>
          </cell>
          <cell r="G257">
            <v>37442</v>
          </cell>
        </row>
      </sheetData>
      <sheetData sheetId="10">
        <row r="19">
          <cell r="E19">
            <v>6195</v>
          </cell>
          <cell r="F19">
            <v>6060</v>
          </cell>
          <cell r="G19">
            <v>8640</v>
          </cell>
        </row>
        <row r="155">
          <cell r="E155">
            <v>6195</v>
          </cell>
          <cell r="F155">
            <v>6060</v>
          </cell>
          <cell r="G155">
            <v>8640</v>
          </cell>
        </row>
      </sheetData>
      <sheetData sheetId="11">
        <row r="17">
          <cell r="E17">
            <v>12058</v>
          </cell>
          <cell r="F17">
            <v>12005</v>
          </cell>
          <cell r="G17">
            <v>12558</v>
          </cell>
        </row>
        <row r="144">
          <cell r="E144">
            <v>12058</v>
          </cell>
          <cell r="F144">
            <v>12005</v>
          </cell>
          <cell r="G144">
            <v>12558</v>
          </cell>
        </row>
      </sheetData>
      <sheetData sheetId="12">
        <row r="16">
          <cell r="E16">
            <v>2737</v>
          </cell>
          <cell r="F16">
            <v>4476</v>
          </cell>
          <cell r="G16">
            <v>4416</v>
          </cell>
        </row>
        <row r="231">
          <cell r="E231">
            <v>2737</v>
          </cell>
          <cell r="F231">
            <v>4476</v>
          </cell>
          <cell r="G231">
            <v>4416</v>
          </cell>
        </row>
      </sheetData>
      <sheetData sheetId="13">
        <row r="14">
          <cell r="E14">
            <v>920</v>
          </cell>
          <cell r="F14">
            <v>32857</v>
          </cell>
          <cell r="G14">
            <v>870</v>
          </cell>
        </row>
        <row r="44">
          <cell r="E44">
            <v>920</v>
          </cell>
          <cell r="F44">
            <v>32857</v>
          </cell>
          <cell r="G44">
            <v>870</v>
          </cell>
        </row>
      </sheetData>
      <sheetData sheetId="14">
        <row r="14">
          <cell r="E14">
            <v>26636</v>
          </cell>
          <cell r="F14">
            <v>32696</v>
          </cell>
          <cell r="G14">
            <v>34740</v>
          </cell>
        </row>
        <row r="70">
          <cell r="F70"/>
          <cell r="G70"/>
        </row>
        <row r="72">
          <cell r="E72">
            <v>26636</v>
          </cell>
          <cell r="F72">
            <v>32696</v>
          </cell>
          <cell r="G72">
            <v>34740</v>
          </cell>
        </row>
        <row r="73">
          <cell r="F73"/>
          <cell r="G73"/>
        </row>
      </sheetData>
      <sheetData sheetId="15">
        <row r="18">
          <cell r="E18">
            <v>53135</v>
          </cell>
          <cell r="F18">
            <v>53133</v>
          </cell>
          <cell r="G18">
            <v>80460</v>
          </cell>
        </row>
        <row r="83">
          <cell r="E83">
            <v>53135</v>
          </cell>
          <cell r="F83">
            <v>53133</v>
          </cell>
          <cell r="G83">
            <v>80460</v>
          </cell>
        </row>
      </sheetData>
      <sheetData sheetId="16">
        <row r="12">
          <cell r="E12">
            <v>1305</v>
          </cell>
          <cell r="F12">
            <v>1923</v>
          </cell>
          <cell r="G12">
            <v>1355</v>
          </cell>
        </row>
        <row r="40">
          <cell r="E40">
            <v>1305</v>
          </cell>
          <cell r="F40">
            <v>1923</v>
          </cell>
          <cell r="G40">
            <v>1355</v>
          </cell>
        </row>
      </sheetData>
      <sheetData sheetId="17">
        <row r="34">
          <cell r="E34">
            <v>75408</v>
          </cell>
          <cell r="F34">
            <v>75237</v>
          </cell>
          <cell r="G34">
            <v>72454</v>
          </cell>
        </row>
        <row r="390">
          <cell r="E390">
            <v>75408</v>
          </cell>
          <cell r="F390">
            <v>75237</v>
          </cell>
          <cell r="G390">
            <v>72454</v>
          </cell>
        </row>
        <row r="391">
          <cell r="E391"/>
          <cell r="F391"/>
          <cell r="G391"/>
        </row>
      </sheetData>
      <sheetData sheetId="18"/>
      <sheetData sheetId="19">
        <row r="10">
          <cell r="C10"/>
          <cell r="D10"/>
          <cell r="E10">
            <v>498</v>
          </cell>
          <cell r="F10">
            <v>498</v>
          </cell>
          <cell r="G10">
            <v>577</v>
          </cell>
        </row>
        <row r="11">
          <cell r="E11"/>
          <cell r="F11"/>
          <cell r="G11"/>
        </row>
        <row r="35">
          <cell r="E35">
            <v>498</v>
          </cell>
          <cell r="F35">
            <v>498</v>
          </cell>
          <cell r="G35">
            <v>577</v>
          </cell>
        </row>
        <row r="36">
          <cell r="E36">
            <v>0</v>
          </cell>
          <cell r="F36">
            <v>0</v>
          </cell>
          <cell r="G36">
            <v>0</v>
          </cell>
        </row>
      </sheetData>
      <sheetData sheetId="20">
        <row r="25">
          <cell r="E25">
            <v>20000</v>
          </cell>
          <cell r="F25">
            <v>215407</v>
          </cell>
          <cell r="G25">
            <v>15000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kapitulace"/>
      <sheetName val="08"/>
      <sheetName val="09"/>
      <sheetName val="10"/>
      <sheetName val="11"/>
      <sheetName val="12"/>
      <sheetName val="13"/>
      <sheetName val="14"/>
      <sheetName val="18"/>
      <sheetName val="07 - ID"/>
      <sheetName val="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kapitulace"/>
      <sheetName val="08"/>
      <sheetName val="09"/>
      <sheetName val="10"/>
      <sheetName val="11"/>
      <sheetName val="12"/>
      <sheetName val="13"/>
      <sheetName val="14"/>
      <sheetName val="18"/>
      <sheetName val="07 - ID"/>
      <sheetName val="IŽ"/>
    </sheetNames>
    <sheetDataSet>
      <sheetData sheetId="0">
        <row r="115">
          <cell r="E115">
            <v>456503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J90"/>
  <sheetViews>
    <sheetView view="pageBreakPreview" topLeftCell="A49" zoomScaleNormal="100" zoomScaleSheetLayoutView="100" workbookViewId="0">
      <selection activeCell="I60" sqref="I60"/>
    </sheetView>
  </sheetViews>
  <sheetFormatPr defaultColWidth="9.140625" defaultRowHeight="14.25" x14ac:dyDescent="0.2"/>
  <cols>
    <col min="1" max="7" width="9.140625" style="58"/>
    <col min="8" max="9" width="9.140625" style="463"/>
    <col min="10" max="16384" width="9.140625" style="58"/>
  </cols>
  <sheetData>
    <row r="1" spans="1:9" ht="15" customHeight="1" thickBot="1" x14ac:dyDescent="0.25">
      <c r="A1" s="49"/>
      <c r="B1" s="49"/>
      <c r="C1" s="49"/>
      <c r="D1" s="49"/>
      <c r="E1" s="49"/>
      <c r="F1" s="49"/>
      <c r="G1" s="49"/>
      <c r="H1" s="462"/>
      <c r="I1" s="38" t="s">
        <v>21</v>
      </c>
    </row>
    <row r="2" spans="1:9" ht="15.75" thickTop="1" x14ac:dyDescent="0.25">
      <c r="A2" s="51" t="s">
        <v>246</v>
      </c>
    </row>
    <row r="4" spans="1:9" ht="33" customHeight="1" x14ac:dyDescent="0.2">
      <c r="A4" s="1032" t="s">
        <v>414</v>
      </c>
      <c r="B4" s="1032"/>
      <c r="C4" s="1032"/>
      <c r="D4" s="1032"/>
      <c r="E4" s="1032"/>
      <c r="F4" s="1032"/>
      <c r="G4" s="1032"/>
      <c r="H4" s="1032"/>
      <c r="I4" s="34" t="s">
        <v>393</v>
      </c>
    </row>
    <row r="5" spans="1:9" s="36" customFormat="1" ht="18" customHeight="1" x14ac:dyDescent="0.2">
      <c r="A5" s="1036" t="s">
        <v>225</v>
      </c>
      <c r="B5" s="1036"/>
      <c r="C5" s="1036"/>
      <c r="D5" s="1036"/>
      <c r="E5" s="1036"/>
      <c r="F5" s="1036"/>
      <c r="G5" s="1036"/>
      <c r="H5" s="1036"/>
      <c r="I5" s="34" t="s">
        <v>392</v>
      </c>
    </row>
    <row r="6" spans="1:9" s="36" customFormat="1" ht="18" customHeight="1" x14ac:dyDescent="0.2">
      <c r="A6" s="1036" t="s">
        <v>226</v>
      </c>
      <c r="B6" s="1036"/>
      <c r="C6" s="1036"/>
      <c r="D6" s="1036"/>
      <c r="E6" s="1036"/>
      <c r="F6" s="1036"/>
      <c r="G6" s="1036"/>
      <c r="H6" s="1036"/>
      <c r="I6" s="34" t="s">
        <v>391</v>
      </c>
    </row>
    <row r="7" spans="1:9" s="36" customFormat="1" ht="18" customHeight="1" x14ac:dyDescent="0.2">
      <c r="A7" s="1036" t="s">
        <v>227</v>
      </c>
      <c r="B7" s="1036"/>
      <c r="C7" s="1036"/>
      <c r="D7" s="1036"/>
      <c r="E7" s="1036"/>
      <c r="F7" s="1036"/>
      <c r="G7" s="1036"/>
      <c r="H7" s="1036"/>
      <c r="I7" s="34" t="s">
        <v>390</v>
      </c>
    </row>
    <row r="8" spans="1:9" s="36" customFormat="1" ht="18" customHeight="1" x14ac:dyDescent="0.2">
      <c r="A8" s="1036" t="s">
        <v>228</v>
      </c>
      <c r="B8" s="1036"/>
      <c r="C8" s="1036"/>
      <c r="D8" s="1036"/>
      <c r="E8" s="1036"/>
      <c r="F8" s="1036"/>
      <c r="G8" s="1036"/>
      <c r="H8" s="1036"/>
      <c r="I8" s="34" t="s">
        <v>389</v>
      </c>
    </row>
    <row r="9" spans="1:9" s="36" customFormat="1" ht="18" customHeight="1" x14ac:dyDescent="0.2">
      <c r="A9" s="1036" t="s">
        <v>229</v>
      </c>
      <c r="B9" s="1036"/>
      <c r="C9" s="1036"/>
      <c r="D9" s="1036"/>
      <c r="E9" s="1036"/>
      <c r="F9" s="1036"/>
      <c r="G9" s="1036"/>
      <c r="H9" s="1036"/>
      <c r="I9" s="34" t="s">
        <v>388</v>
      </c>
    </row>
    <row r="10" spans="1:9" s="36" customFormat="1" ht="31.5" customHeight="1" x14ac:dyDescent="0.2">
      <c r="A10" s="1036" t="s">
        <v>230</v>
      </c>
      <c r="B10" s="1036"/>
      <c r="C10" s="1036"/>
      <c r="D10" s="1036"/>
      <c r="E10" s="1036"/>
      <c r="F10" s="1036"/>
      <c r="G10" s="1036"/>
      <c r="H10" s="1036"/>
      <c r="I10" s="34" t="s">
        <v>236</v>
      </c>
    </row>
    <row r="11" spans="1:9" s="36" customFormat="1" ht="18" customHeight="1" x14ac:dyDescent="0.2">
      <c r="A11" s="1036" t="s">
        <v>231</v>
      </c>
      <c r="B11" s="1036"/>
      <c r="C11" s="1036"/>
      <c r="D11" s="1036"/>
      <c r="E11" s="1036"/>
      <c r="F11" s="1036"/>
      <c r="G11" s="1036"/>
      <c r="H11" s="1036"/>
      <c r="I11" s="34" t="s">
        <v>237</v>
      </c>
    </row>
    <row r="12" spans="1:9" s="36" customFormat="1" ht="18" customHeight="1" x14ac:dyDescent="0.2">
      <c r="A12" s="1036" t="s">
        <v>232</v>
      </c>
      <c r="B12" s="1036"/>
      <c r="C12" s="1036"/>
      <c r="D12" s="1036"/>
      <c r="E12" s="1036"/>
      <c r="F12" s="1036"/>
      <c r="G12" s="1036"/>
      <c r="H12" s="1036"/>
      <c r="I12" s="34" t="s">
        <v>238</v>
      </c>
    </row>
    <row r="13" spans="1:9" ht="15" x14ac:dyDescent="0.2">
      <c r="A13" s="461"/>
      <c r="B13" s="461"/>
      <c r="C13" s="461"/>
      <c r="D13" s="461"/>
      <c r="E13" s="461"/>
      <c r="F13" s="461"/>
      <c r="G13" s="461"/>
      <c r="H13" s="461"/>
      <c r="I13" s="34"/>
    </row>
    <row r="14" spans="1:9" ht="15" x14ac:dyDescent="0.25">
      <c r="A14" s="50" t="s">
        <v>526</v>
      </c>
      <c r="I14" s="464"/>
    </row>
    <row r="15" spans="1:9" ht="4.5" customHeight="1" x14ac:dyDescent="0.2">
      <c r="I15" s="464"/>
    </row>
    <row r="16" spans="1:9" ht="20.100000000000001" customHeight="1" x14ac:dyDescent="0.2">
      <c r="A16" s="36" t="s">
        <v>544</v>
      </c>
      <c r="B16" s="36"/>
      <c r="C16" s="36"/>
      <c r="D16" s="36"/>
      <c r="E16" s="36"/>
      <c r="F16" s="36"/>
      <c r="G16" s="36"/>
      <c r="H16" s="32"/>
      <c r="I16" s="34" t="s">
        <v>239</v>
      </c>
    </row>
    <row r="17" spans="1:10" ht="20.100000000000001" customHeight="1" x14ac:dyDescent="0.2">
      <c r="A17" s="1033" t="s">
        <v>545</v>
      </c>
      <c r="B17" s="1033"/>
      <c r="C17" s="1033"/>
      <c r="D17" s="1033"/>
      <c r="E17" s="1033"/>
      <c r="F17" s="1033"/>
      <c r="G17" s="1033"/>
      <c r="H17" s="1033"/>
      <c r="I17" s="34" t="s">
        <v>240</v>
      </c>
    </row>
    <row r="18" spans="1:10" ht="20.100000000000001" customHeight="1" x14ac:dyDescent="0.2">
      <c r="A18" s="36" t="s">
        <v>546</v>
      </c>
      <c r="B18" s="36"/>
      <c r="C18" s="36"/>
      <c r="D18" s="36"/>
      <c r="E18" s="36"/>
      <c r="F18" s="36"/>
      <c r="G18" s="36"/>
      <c r="H18" s="32"/>
      <c r="I18" s="34" t="s">
        <v>394</v>
      </c>
    </row>
    <row r="19" spans="1:10" ht="20.100000000000001" customHeight="1" x14ac:dyDescent="0.2">
      <c r="A19" s="36" t="s">
        <v>547</v>
      </c>
      <c r="B19" s="36"/>
      <c r="C19" s="36"/>
      <c r="D19" s="36"/>
      <c r="E19" s="36"/>
      <c r="F19" s="36"/>
      <c r="G19" s="36"/>
      <c r="H19" s="32"/>
      <c r="I19" s="34" t="s">
        <v>395</v>
      </c>
    </row>
    <row r="20" spans="1:10" ht="30" customHeight="1" x14ac:dyDescent="0.25">
      <c r="A20" s="50" t="s">
        <v>480</v>
      </c>
      <c r="I20" s="464"/>
    </row>
    <row r="21" spans="1:10" ht="6" customHeight="1" x14ac:dyDescent="0.2">
      <c r="I21" s="464"/>
    </row>
    <row r="22" spans="1:10" ht="15" x14ac:dyDescent="0.25">
      <c r="A22" s="51" t="s">
        <v>53</v>
      </c>
      <c r="H22" s="463" t="s">
        <v>22</v>
      </c>
      <c r="I22" s="464"/>
    </row>
    <row r="23" spans="1:10" ht="20.100000000000001" customHeight="1" x14ac:dyDescent="0.2">
      <c r="A23" s="52" t="s">
        <v>23</v>
      </c>
      <c r="B23" s="53"/>
      <c r="C23" s="36"/>
      <c r="D23" s="36"/>
      <c r="E23" s="36"/>
      <c r="F23" s="36"/>
      <c r="G23" s="36"/>
      <c r="H23" s="32"/>
      <c r="I23" s="33" t="s">
        <v>396</v>
      </c>
      <c r="J23" s="36"/>
    </row>
    <row r="24" spans="1:10" ht="20.100000000000001" customHeight="1" x14ac:dyDescent="0.2">
      <c r="A24" s="54" t="s">
        <v>24</v>
      </c>
      <c r="B24" s="36"/>
      <c r="C24" s="36"/>
      <c r="D24" s="36"/>
      <c r="E24" s="36"/>
      <c r="F24" s="36"/>
      <c r="G24" s="55">
        <v>1</v>
      </c>
      <c r="H24" s="32"/>
      <c r="I24" s="34" t="s">
        <v>397</v>
      </c>
      <c r="J24" s="36"/>
    </row>
    <row r="25" spans="1:10" ht="20.100000000000001" customHeight="1" x14ac:dyDescent="0.2">
      <c r="A25" s="52" t="s">
        <v>257</v>
      </c>
      <c r="B25" s="53"/>
      <c r="C25" s="36"/>
      <c r="D25" s="36"/>
      <c r="E25" s="36"/>
      <c r="F25" s="36"/>
      <c r="G25" s="55">
        <v>2</v>
      </c>
      <c r="H25" s="32"/>
      <c r="I25" s="34" t="s">
        <v>398</v>
      </c>
      <c r="J25" s="36"/>
    </row>
    <row r="26" spans="1:10" ht="20.100000000000001" customHeight="1" x14ac:dyDescent="0.2">
      <c r="A26" s="54" t="s">
        <v>47</v>
      </c>
      <c r="B26" s="36"/>
      <c r="C26" s="36"/>
      <c r="D26" s="36"/>
      <c r="E26" s="36"/>
      <c r="F26" s="36"/>
      <c r="G26" s="55">
        <v>3</v>
      </c>
      <c r="H26" s="32"/>
      <c r="I26" s="34" t="s">
        <v>399</v>
      </c>
      <c r="J26" s="36"/>
    </row>
    <row r="27" spans="1:10" ht="20.100000000000001" customHeight="1" x14ac:dyDescent="0.2">
      <c r="A27" s="54" t="s">
        <v>84</v>
      </c>
      <c r="B27" s="36"/>
      <c r="C27" s="36"/>
      <c r="D27" s="36"/>
      <c r="E27" s="36"/>
      <c r="F27" s="36"/>
      <c r="G27" s="55">
        <v>4</v>
      </c>
      <c r="H27" s="32"/>
      <c r="I27" s="33" t="s">
        <v>400</v>
      </c>
      <c r="J27" s="36"/>
    </row>
    <row r="28" spans="1:10" ht="20.100000000000001" customHeight="1" x14ac:dyDescent="0.2">
      <c r="A28" s="54" t="s">
        <v>77</v>
      </c>
      <c r="B28" s="36"/>
      <c r="C28" s="36"/>
      <c r="D28" s="36"/>
      <c r="E28" s="36"/>
      <c r="F28" s="36"/>
      <c r="G28" s="55">
        <v>6</v>
      </c>
      <c r="H28" s="32"/>
      <c r="I28" s="33" t="s">
        <v>401</v>
      </c>
      <c r="J28" s="36"/>
    </row>
    <row r="29" spans="1:10" ht="20.100000000000001" customHeight="1" x14ac:dyDescent="0.2">
      <c r="A29" s="54" t="s">
        <v>25</v>
      </c>
      <c r="B29" s="36"/>
      <c r="C29" s="36"/>
      <c r="D29" s="36"/>
      <c r="E29" s="36"/>
      <c r="F29" s="36"/>
      <c r="G29" s="55">
        <v>7</v>
      </c>
      <c r="H29" s="32"/>
      <c r="I29" s="34" t="s">
        <v>402</v>
      </c>
      <c r="J29" s="36"/>
    </row>
    <row r="30" spans="1:10" s="802" customFormat="1" ht="20.100000000000001" customHeight="1" x14ac:dyDescent="0.2">
      <c r="A30" s="1034" t="s">
        <v>51</v>
      </c>
      <c r="B30" s="1034"/>
      <c r="C30" s="1034"/>
      <c r="D30" s="1034"/>
      <c r="E30" s="1034"/>
      <c r="F30" s="1034"/>
      <c r="G30" s="55">
        <v>8</v>
      </c>
      <c r="H30" s="32"/>
      <c r="I30" s="34" t="s">
        <v>403</v>
      </c>
      <c r="J30" s="784"/>
    </row>
    <row r="31" spans="1:10" ht="20.100000000000001" customHeight="1" x14ac:dyDescent="0.2">
      <c r="A31" s="54" t="s">
        <v>26</v>
      </c>
      <c r="B31" s="36"/>
      <c r="C31" s="36"/>
      <c r="D31" s="36"/>
      <c r="E31" s="36"/>
      <c r="F31" s="36"/>
      <c r="G31" s="55">
        <v>9</v>
      </c>
      <c r="H31" s="32"/>
      <c r="I31" s="34" t="s">
        <v>404</v>
      </c>
      <c r="J31" s="36"/>
    </row>
    <row r="32" spans="1:10" ht="20.100000000000001" customHeight="1" x14ac:dyDescent="0.2">
      <c r="A32" s="54" t="s">
        <v>78</v>
      </c>
      <c r="B32" s="36"/>
      <c r="C32" s="36"/>
      <c r="D32" s="36"/>
      <c r="E32" s="36"/>
      <c r="F32" s="36"/>
      <c r="G32" s="53">
        <v>10</v>
      </c>
      <c r="H32" s="32"/>
      <c r="I32" s="34" t="s">
        <v>405</v>
      </c>
      <c r="J32" s="36"/>
    </row>
    <row r="33" spans="1:10" ht="20.100000000000001" customHeight="1" x14ac:dyDescent="0.2">
      <c r="A33" s="54" t="s">
        <v>27</v>
      </c>
      <c r="B33" s="36"/>
      <c r="C33" s="36"/>
      <c r="D33" s="36"/>
      <c r="E33" s="36"/>
      <c r="F33" s="36"/>
      <c r="G33" s="53">
        <v>11</v>
      </c>
      <c r="H33" s="32"/>
      <c r="I33" s="34" t="s">
        <v>406</v>
      </c>
      <c r="J33" s="36"/>
    </row>
    <row r="34" spans="1:10" ht="20.100000000000001" customHeight="1" x14ac:dyDescent="0.2">
      <c r="A34" s="54" t="s">
        <v>28</v>
      </c>
      <c r="B34" s="36"/>
      <c r="C34" s="36"/>
      <c r="D34" s="36"/>
      <c r="E34" s="36"/>
      <c r="F34" s="36"/>
      <c r="G34" s="53">
        <v>12</v>
      </c>
      <c r="H34" s="32"/>
      <c r="I34" s="34" t="s">
        <v>407</v>
      </c>
      <c r="J34" s="36"/>
    </row>
    <row r="35" spans="1:10" ht="20.100000000000001" customHeight="1" x14ac:dyDescent="0.2">
      <c r="A35" s="54" t="s">
        <v>79</v>
      </c>
      <c r="B35" s="36"/>
      <c r="C35" s="36"/>
      <c r="D35" s="36"/>
      <c r="E35" s="36"/>
      <c r="F35" s="36"/>
      <c r="G35" s="53">
        <v>13</v>
      </c>
      <c r="H35" s="32"/>
      <c r="I35" s="34" t="s">
        <v>408</v>
      </c>
      <c r="J35" s="36"/>
    </row>
    <row r="36" spans="1:10" ht="20.100000000000001" customHeight="1" x14ac:dyDescent="0.2">
      <c r="A36" s="54" t="s">
        <v>29</v>
      </c>
      <c r="B36" s="36"/>
      <c r="C36" s="36"/>
      <c r="D36" s="36"/>
      <c r="E36" s="36"/>
      <c r="F36" s="36"/>
      <c r="G36" s="53">
        <v>14</v>
      </c>
      <c r="H36" s="32"/>
      <c r="I36" s="34" t="s">
        <v>548</v>
      </c>
      <c r="J36" s="36"/>
    </row>
    <row r="37" spans="1:10" ht="20.100000000000001" customHeight="1" x14ac:dyDescent="0.2">
      <c r="A37" s="36" t="s">
        <v>80</v>
      </c>
      <c r="B37" s="36"/>
      <c r="C37" s="36"/>
      <c r="D37" s="36"/>
      <c r="E37" s="36"/>
      <c r="F37" s="36"/>
      <c r="G37" s="57">
        <v>17</v>
      </c>
      <c r="H37" s="32"/>
      <c r="I37" s="34" t="s">
        <v>549</v>
      </c>
      <c r="J37" s="36"/>
    </row>
    <row r="38" spans="1:10" ht="20.100000000000001" customHeight="1" x14ac:dyDescent="0.2">
      <c r="A38" s="36" t="s">
        <v>81</v>
      </c>
      <c r="B38" s="36"/>
      <c r="C38" s="36"/>
      <c r="D38" s="36"/>
      <c r="E38" s="36"/>
      <c r="F38" s="36"/>
      <c r="G38" s="57">
        <v>18</v>
      </c>
      <c r="H38" s="32"/>
      <c r="I38" s="34" t="s">
        <v>550</v>
      </c>
      <c r="J38" s="36"/>
    </row>
    <row r="39" spans="1:10" ht="20.100000000000001" customHeight="1" x14ac:dyDescent="0.2">
      <c r="A39" s="36" t="s">
        <v>52</v>
      </c>
      <c r="B39" s="36"/>
      <c r="C39" s="36"/>
      <c r="D39" s="36"/>
      <c r="E39" s="36"/>
      <c r="F39" s="36"/>
      <c r="G39" s="57">
        <v>20</v>
      </c>
      <c r="H39" s="32"/>
      <c r="I39" s="34" t="s">
        <v>342</v>
      </c>
      <c r="J39" s="36"/>
    </row>
    <row r="40" spans="1:10" ht="20.100000000000001" customHeight="1" x14ac:dyDescent="0.2">
      <c r="A40" s="36" t="s">
        <v>409</v>
      </c>
      <c r="B40" s="36"/>
      <c r="C40" s="36"/>
      <c r="D40" s="36"/>
      <c r="E40" s="36"/>
      <c r="F40" s="36"/>
      <c r="G40" s="57">
        <v>98</v>
      </c>
      <c r="H40" s="32"/>
      <c r="I40" s="34" t="s">
        <v>551</v>
      </c>
      <c r="J40" s="36"/>
    </row>
    <row r="41" spans="1:10" ht="15" thickBot="1" x14ac:dyDescent="0.25">
      <c r="A41" s="49"/>
      <c r="B41" s="49"/>
      <c r="C41" s="49"/>
      <c r="D41" s="49"/>
      <c r="E41" s="49"/>
      <c r="F41" s="49"/>
      <c r="G41" s="49"/>
      <c r="H41" s="462"/>
      <c r="I41" s="38" t="s">
        <v>21</v>
      </c>
    </row>
    <row r="42" spans="1:10" ht="15.75" thickTop="1" x14ac:dyDescent="0.25">
      <c r="A42" s="60" t="s">
        <v>54</v>
      </c>
      <c r="C42" s="447"/>
      <c r="D42" s="447"/>
      <c r="G42" s="447"/>
      <c r="H42" s="465" t="s">
        <v>22</v>
      </c>
      <c r="I42" s="466"/>
    </row>
    <row r="43" spans="1:10" ht="20.100000000000001" customHeight="1" x14ac:dyDescent="0.2">
      <c r="A43" s="52" t="s">
        <v>23</v>
      </c>
      <c r="B43" s="53"/>
      <c r="C43" s="36"/>
      <c r="D43" s="36"/>
      <c r="E43" s="36"/>
      <c r="F43" s="36"/>
      <c r="G43" s="36"/>
      <c r="H43" s="32"/>
      <c r="I43" s="33" t="s">
        <v>529</v>
      </c>
      <c r="J43" s="36"/>
    </row>
    <row r="44" spans="1:10" ht="20.100000000000001" customHeight="1" x14ac:dyDescent="0.2">
      <c r="A44" s="1035" t="s">
        <v>51</v>
      </c>
      <c r="B44" s="1035"/>
      <c r="C44" s="1035"/>
      <c r="D44" s="1035"/>
      <c r="E44" s="1035"/>
      <c r="F44" s="1035"/>
      <c r="G44" s="56">
        <v>8</v>
      </c>
      <c r="H44" s="42"/>
      <c r="I44" s="43" t="s">
        <v>241</v>
      </c>
      <c r="J44" s="36"/>
    </row>
    <row r="45" spans="1:10" ht="20.100000000000001" customHeight="1" x14ac:dyDescent="0.2">
      <c r="A45" s="54" t="s">
        <v>26</v>
      </c>
      <c r="B45" s="36"/>
      <c r="C45" s="36"/>
      <c r="D45" s="36"/>
      <c r="E45" s="36"/>
      <c r="F45" s="36"/>
      <c r="G45" s="55">
        <v>9</v>
      </c>
      <c r="H45" s="32"/>
      <c r="I45" s="34" t="s">
        <v>242</v>
      </c>
      <c r="J45" s="36"/>
    </row>
    <row r="46" spans="1:10" ht="20.100000000000001" customHeight="1" x14ac:dyDescent="0.2">
      <c r="A46" s="54" t="s">
        <v>78</v>
      </c>
      <c r="B46" s="36"/>
      <c r="C46" s="36"/>
      <c r="D46" s="36"/>
      <c r="E46" s="36"/>
      <c r="F46" s="36"/>
      <c r="G46" s="53">
        <v>10</v>
      </c>
      <c r="H46" s="32"/>
      <c r="I46" s="34" t="s">
        <v>243</v>
      </c>
      <c r="J46" s="36"/>
    </row>
    <row r="47" spans="1:10" ht="20.100000000000001" customHeight="1" x14ac:dyDescent="0.2">
      <c r="A47" s="54" t="s">
        <v>27</v>
      </c>
      <c r="B47" s="36"/>
      <c r="C47" s="36"/>
      <c r="D47" s="36"/>
      <c r="E47" s="36"/>
      <c r="F47" s="36"/>
      <c r="G47" s="53">
        <v>11</v>
      </c>
      <c r="H47" s="32"/>
      <c r="I47" s="34" t="s">
        <v>343</v>
      </c>
      <c r="J47" s="36"/>
    </row>
    <row r="48" spans="1:10" ht="20.100000000000001" customHeight="1" x14ac:dyDescent="0.2">
      <c r="A48" s="54" t="s">
        <v>28</v>
      </c>
      <c r="B48" s="36"/>
      <c r="C48" s="36"/>
      <c r="D48" s="36"/>
      <c r="E48" s="36"/>
      <c r="F48" s="36"/>
      <c r="G48" s="53">
        <v>12</v>
      </c>
      <c r="H48" s="32"/>
      <c r="I48" s="34" t="s">
        <v>530</v>
      </c>
      <c r="J48" s="36"/>
    </row>
    <row r="49" spans="1:10" ht="21" customHeight="1" x14ac:dyDescent="0.2">
      <c r="A49" s="54" t="s">
        <v>79</v>
      </c>
      <c r="B49" s="36"/>
      <c r="C49" s="36"/>
      <c r="D49" s="36"/>
      <c r="E49" s="36"/>
      <c r="F49" s="36"/>
      <c r="G49" s="53">
        <v>13</v>
      </c>
      <c r="H49" s="32"/>
      <c r="I49" s="34" t="s">
        <v>531</v>
      </c>
      <c r="J49" s="36"/>
    </row>
    <row r="50" spans="1:10" ht="20.100000000000001" customHeight="1" x14ac:dyDescent="0.2">
      <c r="A50" s="54" t="s">
        <v>29</v>
      </c>
      <c r="B50" s="36"/>
      <c r="C50" s="36"/>
      <c r="D50" s="36"/>
      <c r="E50" s="36"/>
      <c r="F50" s="36"/>
      <c r="G50" s="53">
        <v>14</v>
      </c>
      <c r="H50" s="32"/>
      <c r="I50" s="34" t="s">
        <v>244</v>
      </c>
      <c r="J50" s="36"/>
    </row>
    <row r="51" spans="1:10" ht="20.100000000000001" customHeight="1" x14ac:dyDescent="0.2">
      <c r="A51" s="36" t="s">
        <v>81</v>
      </c>
      <c r="B51" s="36"/>
      <c r="C51" s="36"/>
      <c r="D51" s="36"/>
      <c r="E51" s="36"/>
      <c r="F51" s="36"/>
      <c r="G51" s="57">
        <v>18</v>
      </c>
      <c r="H51" s="32"/>
      <c r="I51" s="34" t="s">
        <v>532</v>
      </c>
      <c r="J51" s="36"/>
    </row>
    <row r="52" spans="1:10" ht="19.5" customHeight="1" x14ac:dyDescent="0.2">
      <c r="A52" s="36" t="s">
        <v>83</v>
      </c>
      <c r="I52" s="463">
        <v>85</v>
      </c>
    </row>
    <row r="54" spans="1:10" ht="15" x14ac:dyDescent="0.25">
      <c r="A54" s="51" t="s">
        <v>55</v>
      </c>
      <c r="B54" s="36"/>
      <c r="C54" s="36"/>
      <c r="D54" s="36"/>
      <c r="E54" s="36"/>
      <c r="F54" s="36"/>
      <c r="G54" s="36"/>
      <c r="H54" s="32"/>
      <c r="I54" s="464"/>
      <c r="J54" s="36"/>
    </row>
    <row r="55" spans="1:10" ht="20.100000000000001" customHeight="1" x14ac:dyDescent="0.2">
      <c r="A55" s="52" t="s">
        <v>23</v>
      </c>
      <c r="I55" s="34" t="s">
        <v>245</v>
      </c>
    </row>
    <row r="56" spans="1:10" ht="20.100000000000001" customHeight="1" x14ac:dyDescent="0.2">
      <c r="A56" s="54" t="s">
        <v>61</v>
      </c>
      <c r="D56" s="36"/>
      <c r="E56" s="36"/>
      <c r="F56" s="36"/>
      <c r="G56" s="55">
        <v>7</v>
      </c>
      <c r="I56" s="34" t="s">
        <v>533</v>
      </c>
    </row>
    <row r="57" spans="1:10" ht="20.100000000000001" customHeight="1" x14ac:dyDescent="0.2">
      <c r="A57" s="54" t="s">
        <v>30</v>
      </c>
      <c r="B57" s="36"/>
      <c r="C57" s="36"/>
      <c r="D57" s="36"/>
      <c r="E57" s="36"/>
      <c r="F57" s="36"/>
      <c r="G57" s="57">
        <v>10</v>
      </c>
      <c r="H57" s="32"/>
      <c r="I57" s="34" t="s">
        <v>534</v>
      </c>
      <c r="J57" s="36"/>
    </row>
    <row r="58" spans="1:10" ht="20.100000000000001" customHeight="1" x14ac:dyDescent="0.2">
      <c r="A58" s="54" t="s">
        <v>33</v>
      </c>
      <c r="D58" s="36"/>
      <c r="E58" s="36"/>
      <c r="F58" s="36"/>
      <c r="G58" s="55">
        <v>11</v>
      </c>
      <c r="I58" s="34" t="s">
        <v>535</v>
      </c>
      <c r="J58" s="36"/>
    </row>
    <row r="59" spans="1:10" ht="20.100000000000001" customHeight="1" x14ac:dyDescent="0.2">
      <c r="A59" s="54" t="s">
        <v>31</v>
      </c>
      <c r="B59" s="53"/>
      <c r="D59" s="36"/>
      <c r="E59" s="36"/>
      <c r="F59" s="36"/>
      <c r="G59" s="57">
        <v>12</v>
      </c>
      <c r="H59" s="32"/>
      <c r="I59" s="34" t="s">
        <v>536</v>
      </c>
      <c r="J59" s="36"/>
    </row>
    <row r="60" spans="1:10" ht="20.100000000000001" customHeight="1" x14ac:dyDescent="0.2">
      <c r="A60" s="54" t="s">
        <v>32</v>
      </c>
      <c r="D60" s="36"/>
      <c r="E60" s="36"/>
      <c r="F60" s="36"/>
      <c r="G60" s="55">
        <v>13</v>
      </c>
      <c r="I60" s="34" t="s">
        <v>537</v>
      </c>
      <c r="J60" s="36"/>
    </row>
    <row r="61" spans="1:10" ht="20.100000000000001" customHeight="1" x14ac:dyDescent="0.2">
      <c r="A61" s="54" t="s">
        <v>34</v>
      </c>
      <c r="D61" s="36"/>
      <c r="E61" s="36"/>
      <c r="F61" s="36"/>
      <c r="G61" s="55">
        <v>14</v>
      </c>
      <c r="I61" s="34" t="s">
        <v>538</v>
      </c>
      <c r="J61" s="36"/>
    </row>
    <row r="62" spans="1:10" x14ac:dyDescent="0.2">
      <c r="A62" s="36"/>
      <c r="D62" s="36"/>
      <c r="E62" s="36"/>
      <c r="F62" s="36"/>
      <c r="G62" s="55"/>
      <c r="I62" s="35"/>
      <c r="J62" s="36"/>
    </row>
    <row r="63" spans="1:10" ht="15" x14ac:dyDescent="0.25">
      <c r="A63" s="51" t="s">
        <v>56</v>
      </c>
      <c r="B63" s="36"/>
      <c r="C63" s="36"/>
      <c r="D63" s="36"/>
      <c r="E63" s="36"/>
      <c r="F63" s="36"/>
      <c r="G63" s="36"/>
      <c r="H63" s="32"/>
      <c r="I63" s="34" t="s">
        <v>539</v>
      </c>
      <c r="J63" s="36"/>
    </row>
    <row r="64" spans="1:10" ht="15" x14ac:dyDescent="0.25">
      <c r="A64" s="51"/>
      <c r="B64" s="36"/>
      <c r="C64" s="36"/>
      <c r="D64" s="36"/>
      <c r="E64" s="36"/>
      <c r="F64" s="36"/>
      <c r="G64" s="36"/>
      <c r="H64" s="32"/>
      <c r="I64" s="34"/>
      <c r="J64" s="36"/>
    </row>
    <row r="65" spans="1:10" x14ac:dyDescent="0.2">
      <c r="A65" s="1030" t="s">
        <v>57</v>
      </c>
      <c r="B65" s="1031"/>
      <c r="C65" s="1031"/>
      <c r="D65" s="1031"/>
      <c r="E65" s="1031"/>
      <c r="F65" s="1031"/>
      <c r="G65" s="1031"/>
      <c r="H65" s="32"/>
      <c r="I65" s="34" t="s">
        <v>540</v>
      </c>
      <c r="J65" s="36"/>
    </row>
    <row r="66" spans="1:10" ht="15" customHeight="1" x14ac:dyDescent="0.2">
      <c r="A66" s="1031"/>
      <c r="B66" s="1031"/>
      <c r="C66" s="1031"/>
      <c r="D66" s="1031"/>
      <c r="E66" s="1031"/>
      <c r="F66" s="1031"/>
      <c r="G66" s="1031"/>
      <c r="H66" s="32"/>
      <c r="I66" s="32"/>
      <c r="J66" s="36"/>
    </row>
    <row r="67" spans="1:10" x14ac:dyDescent="0.2">
      <c r="B67" s="36"/>
      <c r="C67" s="36"/>
      <c r="D67" s="36"/>
      <c r="E67" s="36"/>
      <c r="F67" s="36"/>
      <c r="G67" s="36"/>
      <c r="H67" s="32"/>
      <c r="I67" s="32"/>
      <c r="J67" s="36"/>
    </row>
    <row r="68" spans="1:10" ht="15" x14ac:dyDescent="0.25">
      <c r="A68" s="50" t="s">
        <v>62</v>
      </c>
      <c r="B68" s="36"/>
      <c r="C68" s="36"/>
      <c r="D68" s="36"/>
      <c r="E68" s="36"/>
      <c r="F68" s="36"/>
      <c r="G68" s="36"/>
      <c r="H68" s="32"/>
      <c r="I68" s="34"/>
      <c r="J68" s="36"/>
    </row>
    <row r="69" spans="1:10" ht="20.100000000000001" customHeight="1" x14ac:dyDescent="0.2">
      <c r="A69" s="36" t="s">
        <v>233</v>
      </c>
      <c r="B69" s="36"/>
      <c r="C69" s="36"/>
      <c r="D69" s="36"/>
      <c r="E69" s="36"/>
      <c r="F69" s="36"/>
      <c r="G69" s="36"/>
      <c r="H69" s="32"/>
      <c r="I69" s="32">
        <v>107</v>
      </c>
      <c r="J69" s="36"/>
    </row>
    <row r="70" spans="1:10" ht="20.100000000000001" customHeight="1" x14ac:dyDescent="0.2">
      <c r="A70" s="36" t="s">
        <v>63</v>
      </c>
      <c r="B70" s="36"/>
      <c r="C70" s="36"/>
      <c r="D70" s="36"/>
      <c r="E70" s="36"/>
      <c r="F70" s="36"/>
      <c r="G70" s="36"/>
      <c r="H70" s="32"/>
      <c r="I70" s="32">
        <v>108</v>
      </c>
      <c r="J70" s="36"/>
    </row>
    <row r="71" spans="1:10" ht="15" x14ac:dyDescent="0.25">
      <c r="A71" s="51"/>
      <c r="B71" s="36"/>
      <c r="C71" s="36"/>
      <c r="D71" s="36"/>
      <c r="E71" s="36"/>
      <c r="F71" s="36"/>
      <c r="G71" s="36"/>
      <c r="H71" s="32"/>
      <c r="I71" s="32"/>
      <c r="J71" s="36"/>
    </row>
    <row r="72" spans="1:10" ht="15" x14ac:dyDescent="0.25">
      <c r="A72" s="50" t="s">
        <v>527</v>
      </c>
      <c r="B72" s="36"/>
      <c r="C72" s="36"/>
      <c r="D72" s="36"/>
      <c r="E72" s="36"/>
      <c r="F72" s="36"/>
      <c r="G72" s="36"/>
      <c r="H72" s="32"/>
      <c r="I72" s="32" t="s">
        <v>541</v>
      </c>
      <c r="J72" s="36"/>
    </row>
    <row r="74" spans="1:10" ht="15" hidden="1" x14ac:dyDescent="0.25">
      <c r="A74" s="50" t="s">
        <v>90</v>
      </c>
      <c r="I74" s="463" t="s">
        <v>91</v>
      </c>
    </row>
    <row r="75" spans="1:10" hidden="1" x14ac:dyDescent="0.2"/>
    <row r="76" spans="1:10" ht="15" hidden="1" x14ac:dyDescent="0.25">
      <c r="A76" s="50" t="s">
        <v>82</v>
      </c>
      <c r="B76" s="59"/>
      <c r="C76" s="59"/>
      <c r="D76" s="59"/>
      <c r="E76" s="36"/>
      <c r="F76" s="36"/>
      <c r="G76" s="36"/>
      <c r="H76" s="32"/>
      <c r="I76" s="34"/>
    </row>
    <row r="77" spans="1:10" ht="15" hidden="1" x14ac:dyDescent="0.25">
      <c r="A77" s="50"/>
      <c r="B77" s="59"/>
      <c r="C77" s="59"/>
      <c r="D77" s="59"/>
      <c r="E77" s="36"/>
      <c r="F77" s="36"/>
      <c r="G77" s="36"/>
      <c r="H77" s="32"/>
      <c r="I77" s="34"/>
    </row>
    <row r="78" spans="1:10" hidden="1" x14ac:dyDescent="0.2">
      <c r="A78" s="54" t="s">
        <v>64</v>
      </c>
      <c r="B78" s="36"/>
      <c r="C78" s="36"/>
      <c r="D78" s="36"/>
      <c r="E78" s="36"/>
      <c r="F78" s="36"/>
      <c r="G78" s="57">
        <v>19</v>
      </c>
      <c r="H78" s="32"/>
      <c r="I78" s="34" t="s">
        <v>71</v>
      </c>
    </row>
    <row r="79" spans="1:10" hidden="1" x14ac:dyDescent="0.2">
      <c r="A79" s="54"/>
      <c r="B79" s="36"/>
      <c r="C79" s="36"/>
      <c r="D79" s="36"/>
      <c r="E79" s="36"/>
      <c r="F79" s="36"/>
      <c r="G79" s="57"/>
      <c r="H79" s="32"/>
      <c r="I79" s="32"/>
    </row>
    <row r="80" spans="1:10" hidden="1" x14ac:dyDescent="0.2">
      <c r="A80" s="54" t="s">
        <v>66</v>
      </c>
      <c r="D80" s="36"/>
      <c r="E80" s="36"/>
      <c r="F80" s="36"/>
      <c r="G80" s="55">
        <v>19</v>
      </c>
      <c r="I80" s="34" t="s">
        <v>73</v>
      </c>
    </row>
    <row r="81" spans="1:10" hidden="1" x14ac:dyDescent="0.2">
      <c r="A81" s="54"/>
      <c r="B81" s="53"/>
      <c r="D81" s="36"/>
      <c r="E81" s="36"/>
      <c r="F81" s="36"/>
      <c r="G81" s="57"/>
      <c r="H81" s="32"/>
      <c r="I81" s="37"/>
    </row>
    <row r="82" spans="1:10" hidden="1" x14ac:dyDescent="0.2">
      <c r="A82" s="54" t="s">
        <v>68</v>
      </c>
      <c r="B82" s="53"/>
      <c r="D82" s="36"/>
      <c r="E82" s="36"/>
      <c r="F82" s="36"/>
      <c r="G82" s="57">
        <v>19</v>
      </c>
      <c r="H82" s="32"/>
      <c r="I82" s="34" t="s">
        <v>92</v>
      </c>
    </row>
    <row r="83" spans="1:10" hidden="1" x14ac:dyDescent="0.2">
      <c r="A83" s="54"/>
      <c r="D83" s="36"/>
      <c r="E83" s="36"/>
      <c r="F83" s="36"/>
      <c r="G83" s="55"/>
      <c r="I83" s="37"/>
    </row>
    <row r="84" spans="1:10" hidden="1" x14ac:dyDescent="0.2">
      <c r="A84" s="54" t="s">
        <v>70</v>
      </c>
      <c r="D84" s="36"/>
      <c r="E84" s="36"/>
      <c r="F84" s="36"/>
      <c r="G84" s="55">
        <v>19</v>
      </c>
      <c r="I84" s="34" t="s">
        <v>93</v>
      </c>
    </row>
    <row r="85" spans="1:10" hidden="1" x14ac:dyDescent="0.2">
      <c r="A85" s="54"/>
      <c r="D85" s="36"/>
      <c r="E85" s="36"/>
      <c r="F85" s="36"/>
      <c r="G85" s="55"/>
      <c r="I85" s="37"/>
    </row>
    <row r="86" spans="1:10" hidden="1" x14ac:dyDescent="0.2">
      <c r="A86" s="54" t="s">
        <v>72</v>
      </c>
      <c r="D86" s="36"/>
      <c r="E86" s="36"/>
      <c r="F86" s="36"/>
      <c r="G86" s="55">
        <v>19</v>
      </c>
      <c r="I86" s="34" t="s">
        <v>94</v>
      </c>
    </row>
    <row r="87" spans="1:10" hidden="1" x14ac:dyDescent="0.2"/>
    <row r="88" spans="1:10" ht="15" x14ac:dyDescent="0.25">
      <c r="A88" s="50" t="s">
        <v>528</v>
      </c>
      <c r="B88" s="36"/>
      <c r="C88" s="36"/>
      <c r="D88" s="36"/>
      <c r="E88" s="36"/>
      <c r="F88" s="36"/>
      <c r="G88" s="36"/>
      <c r="H88" s="32"/>
      <c r="I88" s="32" t="s">
        <v>542</v>
      </c>
      <c r="J88" s="36"/>
    </row>
    <row r="90" spans="1:10" ht="15" x14ac:dyDescent="0.25">
      <c r="A90" s="50" t="s">
        <v>82</v>
      </c>
      <c r="B90" s="36"/>
      <c r="C90" s="36"/>
      <c r="D90" s="36"/>
      <c r="E90" s="36"/>
      <c r="F90" s="36"/>
      <c r="G90" s="36"/>
      <c r="H90" s="32"/>
      <c r="I90" s="32" t="s">
        <v>543</v>
      </c>
      <c r="J90" s="36"/>
    </row>
  </sheetData>
  <mergeCells count="13">
    <mergeCell ref="A65:G66"/>
    <mergeCell ref="A4:H4"/>
    <mergeCell ref="A17:H17"/>
    <mergeCell ref="A30:F30"/>
    <mergeCell ref="A44:F44"/>
    <mergeCell ref="A5:H5"/>
    <mergeCell ref="A6:H6"/>
    <mergeCell ref="A7:H7"/>
    <mergeCell ref="A8:H8"/>
    <mergeCell ref="A9:H9"/>
    <mergeCell ref="A10:H10"/>
    <mergeCell ref="A11:H11"/>
    <mergeCell ref="A12:H12"/>
  </mergeCells>
  <pageMargins left="0.70866141732283472" right="0.70866141732283472" top="0.78740157480314965" bottom="0.78740157480314965" header="0.31496062992125984" footer="0.31496062992125984"/>
  <pageSetup paperSize="9" scale="98" firstPageNumber="5" orientation="portrait" useFirstPageNumber="1" r:id="rId1"/>
  <headerFooter>
    <oddFooter>&amp;L&amp;"-,Kurzíva"Zastupitelstvo Olomouckého kraje 11.12.2023
2.1. - Rozpočet Olomouckého kraje na rok 2024 - návrh rozpočtu&amp;R&amp;"-,Kurzíva"Strana &amp;P (Celkem 216)</oddFooter>
  </headerFooter>
  <rowBreaks count="1" manualBreakCount="1">
    <brk id="40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CCFFFF"/>
  </sheetPr>
  <dimension ref="A1:AK192"/>
  <sheetViews>
    <sheetView view="pageBreakPreview" zoomScaleNormal="100" zoomScaleSheetLayoutView="100" workbookViewId="0">
      <selection activeCell="F18" sqref="F18"/>
    </sheetView>
  </sheetViews>
  <sheetFormatPr defaultColWidth="9.140625" defaultRowHeight="14.25" x14ac:dyDescent="0.2"/>
  <cols>
    <col min="1" max="1" width="5.5703125" style="405" customWidth="1"/>
    <col min="2" max="2" width="8.5703125" style="436" customWidth="1"/>
    <col min="3" max="3" width="9.140625" style="436"/>
    <col min="4" max="4" width="58.7109375" style="172" customWidth="1"/>
    <col min="5" max="5" width="14.140625" style="172" customWidth="1"/>
    <col min="6" max="6" width="14.140625" style="288" customWidth="1"/>
    <col min="7" max="7" width="15" style="288" customWidth="1"/>
    <col min="8" max="8" width="9.140625" style="172" customWidth="1"/>
    <col min="9" max="9" width="17.5703125" style="58" customWidth="1"/>
    <col min="10" max="12" width="9.140625" style="58"/>
    <col min="13" max="13" width="13.28515625" style="58" customWidth="1"/>
    <col min="14" max="14" width="9.140625" style="58"/>
    <col min="15" max="15" width="8.85546875" style="58" customWidth="1"/>
    <col min="16" max="37" width="9.140625" style="58"/>
    <col min="38" max="16384" width="9.140625" style="172"/>
  </cols>
  <sheetData>
    <row r="1" spans="1:37" ht="20.25" x14ac:dyDescent="0.3">
      <c r="B1" s="291" t="s">
        <v>520</v>
      </c>
    </row>
    <row r="2" spans="1:37" ht="20.25" x14ac:dyDescent="0.3">
      <c r="B2" s="169" t="s">
        <v>521</v>
      </c>
      <c r="C2" s="41"/>
      <c r="D2" s="41"/>
      <c r="E2" s="41"/>
      <c r="F2" s="41"/>
      <c r="G2" s="170"/>
      <c r="H2" s="58"/>
    </row>
    <row r="3" spans="1:37" ht="15" x14ac:dyDescent="0.25">
      <c r="B3" s="41"/>
      <c r="C3" s="41"/>
      <c r="D3" s="41"/>
      <c r="E3" s="41"/>
      <c r="F3" s="41"/>
      <c r="G3" s="170"/>
      <c r="H3" s="58"/>
    </row>
    <row r="4" spans="1:37" x14ac:dyDescent="0.2">
      <c r="B4" s="407"/>
      <c r="C4" s="407"/>
      <c r="D4" s="58"/>
      <c r="E4" s="58"/>
      <c r="F4" s="170"/>
      <c r="G4" s="170"/>
      <c r="H4" s="58"/>
    </row>
    <row r="5" spans="1:37" ht="18" x14ac:dyDescent="0.25">
      <c r="B5" s="406" t="s">
        <v>344</v>
      </c>
      <c r="C5" s="41"/>
      <c r="D5" s="41"/>
      <c r="E5" s="41"/>
      <c r="F5" s="41"/>
      <c r="G5" s="170"/>
      <c r="H5" s="58"/>
    </row>
    <row r="6" spans="1:37" s="209" customFormat="1" ht="13.5" thickBot="1" x14ac:dyDescent="0.25">
      <c r="A6" s="405"/>
      <c r="B6" s="57"/>
      <c r="C6" s="57"/>
      <c r="D6" s="36"/>
      <c r="E6" s="36"/>
      <c r="F6" s="409"/>
      <c r="G6" s="409"/>
      <c r="H6" s="32" t="s">
        <v>96</v>
      </c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</row>
    <row r="7" spans="1:37" s="209" customFormat="1" ht="39.75" thickTop="1" thickBot="1" x14ac:dyDescent="0.25">
      <c r="A7" s="405"/>
      <c r="B7" s="410" t="s">
        <v>97</v>
      </c>
      <c r="C7" s="411" t="s">
        <v>192</v>
      </c>
      <c r="D7" s="412" t="s">
        <v>99</v>
      </c>
      <c r="E7" s="147" t="s">
        <v>415</v>
      </c>
      <c r="F7" s="147" t="s">
        <v>522</v>
      </c>
      <c r="G7" s="147" t="s">
        <v>423</v>
      </c>
      <c r="H7" s="148" t="s">
        <v>2</v>
      </c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 s="419" customFormat="1" ht="13.5" thickTop="1" thickBot="1" x14ac:dyDescent="0.25">
      <c r="A8" s="413"/>
      <c r="B8" s="414">
        <v>1</v>
      </c>
      <c r="C8" s="415">
        <v>2</v>
      </c>
      <c r="D8" s="415">
        <v>3</v>
      </c>
      <c r="E8" s="416">
        <v>4</v>
      </c>
      <c r="F8" s="416">
        <v>5</v>
      </c>
      <c r="G8" s="416">
        <v>6</v>
      </c>
      <c r="H8" s="417" t="s">
        <v>100</v>
      </c>
      <c r="I8" s="418"/>
      <c r="J8" s="418"/>
      <c r="K8" s="418"/>
      <c r="L8" s="418"/>
      <c r="M8" s="418"/>
      <c r="N8" s="418"/>
      <c r="O8" s="418"/>
      <c r="P8" s="418"/>
      <c r="Q8" s="418"/>
      <c r="R8" s="418"/>
      <c r="S8" s="418"/>
      <c r="T8" s="418"/>
      <c r="U8" s="418"/>
      <c r="V8" s="418"/>
      <c r="W8" s="418"/>
      <c r="X8" s="418"/>
      <c r="Y8" s="418"/>
      <c r="Z8" s="418"/>
      <c r="AA8" s="418"/>
      <c r="AB8" s="418"/>
      <c r="AC8" s="418"/>
      <c r="AD8" s="418"/>
      <c r="AE8" s="418"/>
      <c r="AF8" s="418"/>
      <c r="AG8" s="418"/>
      <c r="AH8" s="418"/>
      <c r="AI8" s="418"/>
      <c r="AJ8" s="418"/>
      <c r="AK8" s="418"/>
    </row>
    <row r="9" spans="1:37" ht="15" thickTop="1" x14ac:dyDescent="0.2">
      <c r="B9" s="420"/>
      <c r="C9" s="421">
        <v>81</v>
      </c>
      <c r="D9" s="422" t="s">
        <v>216</v>
      </c>
      <c r="E9" s="423">
        <v>374000</v>
      </c>
      <c r="F9" s="423">
        <v>700000</v>
      </c>
      <c r="G9" s="423">
        <f>SUM(G15)</f>
        <v>700000</v>
      </c>
      <c r="H9" s="424">
        <f>G9/E9*100</f>
        <v>187.16577540106951</v>
      </c>
    </row>
    <row r="10" spans="1:37" x14ac:dyDescent="0.2">
      <c r="B10" s="437"/>
      <c r="C10" s="438">
        <v>81</v>
      </c>
      <c r="D10" s="439" t="s">
        <v>216</v>
      </c>
      <c r="E10" s="440">
        <v>470000</v>
      </c>
      <c r="F10" s="440">
        <v>379499</v>
      </c>
      <c r="G10" s="440">
        <v>0</v>
      </c>
      <c r="H10" s="441">
        <f>G10/E10*100</f>
        <v>0</v>
      </c>
    </row>
    <row r="11" spans="1:37" s="273" customFormat="1" ht="15.75" thickBot="1" x14ac:dyDescent="0.3">
      <c r="A11" s="429"/>
      <c r="B11" s="425"/>
      <c r="C11" s="426">
        <v>81</v>
      </c>
      <c r="D11" s="427" t="s">
        <v>216</v>
      </c>
      <c r="E11" s="428"/>
      <c r="F11" s="1003"/>
      <c r="G11" s="428">
        <f>SUM(G17)</f>
        <v>150000</v>
      </c>
      <c r="H11" s="44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</row>
    <row r="12" spans="1:37" ht="16.5" thickTop="1" thickBot="1" x14ac:dyDescent="0.3">
      <c r="B12" s="1130" t="s">
        <v>106</v>
      </c>
      <c r="C12" s="1131"/>
      <c r="D12" s="1132"/>
      <c r="E12" s="430">
        <f>SUM(E9:E10)</f>
        <v>844000</v>
      </c>
      <c r="F12" s="430">
        <f t="shared" ref="F12" si="0">SUM(F9:F10)</f>
        <v>1079499</v>
      </c>
      <c r="G12" s="430">
        <f>SUM(G9:G11)</f>
        <v>850000</v>
      </c>
      <c r="H12" s="431">
        <f>G12/E12*100</f>
        <v>100.71090047393365</v>
      </c>
    </row>
    <row r="13" spans="1:37" ht="15" thickTop="1" x14ac:dyDescent="0.2">
      <c r="B13" s="442"/>
      <c r="C13" s="442"/>
      <c r="D13" s="443"/>
      <c r="E13" s="443"/>
      <c r="F13" s="171"/>
      <c r="G13" s="170"/>
      <c r="H13" s="58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</row>
    <row r="14" spans="1:37" ht="30" customHeight="1" x14ac:dyDescent="0.25">
      <c r="A14" s="405">
        <v>8117</v>
      </c>
      <c r="B14" s="432" t="s">
        <v>190</v>
      </c>
      <c r="C14" s="442"/>
      <c r="D14" s="443"/>
      <c r="E14" s="443"/>
      <c r="F14" s="171"/>
      <c r="G14" s="171"/>
      <c r="H14" s="443"/>
      <c r="I14" s="433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</row>
    <row r="15" spans="1:37" s="58" customFormat="1" ht="15.75" thickBot="1" x14ac:dyDescent="0.3">
      <c r="A15" s="434"/>
      <c r="B15" s="1128" t="s">
        <v>413</v>
      </c>
      <c r="C15" s="1129"/>
      <c r="D15" s="1129"/>
      <c r="E15" s="1129"/>
      <c r="F15" s="1129"/>
      <c r="G15" s="1127">
        <v>700000</v>
      </c>
      <c r="H15" s="1127"/>
      <c r="I15" s="433"/>
    </row>
    <row r="16" spans="1:37" s="58" customFormat="1" ht="15.75" thickTop="1" x14ac:dyDescent="0.25">
      <c r="A16" s="434"/>
      <c r="B16" s="1004"/>
      <c r="C16" s="442"/>
      <c r="D16" s="443"/>
      <c r="E16" s="443"/>
      <c r="F16" s="171"/>
      <c r="G16" s="1133"/>
      <c r="H16" s="1134"/>
    </row>
    <row r="17" spans="1:37" ht="30" customHeight="1" thickBot="1" x14ac:dyDescent="0.3">
      <c r="A17" s="405">
        <v>8123</v>
      </c>
      <c r="B17" s="1128" t="s">
        <v>523</v>
      </c>
      <c r="C17" s="1129"/>
      <c r="D17" s="1129"/>
      <c r="E17" s="1129"/>
      <c r="F17" s="1129"/>
      <c r="G17" s="1127">
        <v>150000</v>
      </c>
      <c r="H17" s="1127"/>
      <c r="I17" s="433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</row>
    <row r="18" spans="1:37" s="58" customFormat="1" ht="15" thickTop="1" x14ac:dyDescent="0.2">
      <c r="A18" s="434"/>
      <c r="B18" s="435"/>
      <c r="C18" s="407"/>
      <c r="F18" s="170"/>
      <c r="G18" s="1126"/>
      <c r="H18" s="1126"/>
      <c r="I18" s="433"/>
    </row>
    <row r="19" spans="1:37" s="58" customFormat="1" x14ac:dyDescent="0.2">
      <c r="A19" s="434"/>
      <c r="B19" s="407"/>
      <c r="C19" s="407"/>
      <c r="F19" s="170"/>
      <c r="G19" s="170"/>
      <c r="I19" s="433"/>
    </row>
    <row r="20" spans="1:37" s="58" customFormat="1" ht="15" x14ac:dyDescent="0.25">
      <c r="A20" s="434"/>
      <c r="B20" s="435"/>
      <c r="C20" s="407"/>
      <c r="F20" s="170"/>
      <c r="G20" s="449"/>
      <c r="H20" s="450"/>
      <c r="I20" s="433"/>
    </row>
    <row r="21" spans="1:37" s="58" customFormat="1" x14ac:dyDescent="0.2">
      <c r="A21" s="434"/>
      <c r="B21" s="407"/>
      <c r="C21" s="407"/>
      <c r="F21" s="170"/>
      <c r="G21" s="170"/>
    </row>
    <row r="22" spans="1:37" s="58" customFormat="1" x14ac:dyDescent="0.2">
      <c r="A22" s="434"/>
      <c r="B22" s="407"/>
      <c r="C22" s="407"/>
      <c r="F22" s="170"/>
      <c r="G22" s="170"/>
    </row>
    <row r="23" spans="1:37" s="58" customFormat="1" ht="18" x14ac:dyDescent="0.25">
      <c r="A23" s="434"/>
      <c r="B23" s="406" t="s">
        <v>345</v>
      </c>
      <c r="C23" s="41"/>
      <c r="D23" s="41"/>
      <c r="E23" s="41"/>
      <c r="F23" s="41"/>
      <c r="G23" s="170"/>
    </row>
    <row r="24" spans="1:37" s="58" customFormat="1" ht="15.75" thickBot="1" x14ac:dyDescent="0.3">
      <c r="A24" s="434"/>
      <c r="B24" s="41"/>
      <c r="C24" s="41"/>
      <c r="D24" s="41"/>
      <c r="E24" s="41"/>
      <c r="F24" s="41"/>
      <c r="G24" s="170"/>
      <c r="H24" s="32" t="s">
        <v>96</v>
      </c>
    </row>
    <row r="25" spans="1:37" s="58" customFormat="1" ht="39.75" thickTop="1" thickBot="1" x14ac:dyDescent="0.25">
      <c r="A25" s="434"/>
      <c r="B25" s="410" t="s">
        <v>97</v>
      </c>
      <c r="C25" s="411" t="s">
        <v>192</v>
      </c>
      <c r="D25" s="412" t="s">
        <v>99</v>
      </c>
      <c r="E25" s="147" t="s">
        <v>415</v>
      </c>
      <c r="F25" s="147" t="s">
        <v>522</v>
      </c>
      <c r="G25" s="147" t="s">
        <v>423</v>
      </c>
      <c r="H25" s="148" t="s">
        <v>2</v>
      </c>
    </row>
    <row r="26" spans="1:37" s="58" customFormat="1" ht="15.75" thickTop="1" thickBot="1" x14ac:dyDescent="0.25">
      <c r="A26" s="434"/>
      <c r="B26" s="414">
        <v>1</v>
      </c>
      <c r="C26" s="415">
        <v>2</v>
      </c>
      <c r="D26" s="415">
        <v>3</v>
      </c>
      <c r="E26" s="416">
        <v>4</v>
      </c>
      <c r="F26" s="416">
        <v>5</v>
      </c>
      <c r="G26" s="416">
        <v>6</v>
      </c>
      <c r="H26" s="417" t="s">
        <v>100</v>
      </c>
    </row>
    <row r="27" spans="1:37" s="58" customFormat="1" ht="15" thickTop="1" x14ac:dyDescent="0.2">
      <c r="A27" s="434"/>
      <c r="B27" s="437"/>
      <c r="C27" s="438">
        <v>81</v>
      </c>
      <c r="D27" s="439" t="s">
        <v>216</v>
      </c>
      <c r="E27" s="440">
        <v>84849</v>
      </c>
      <c r="F27" s="440">
        <v>84849</v>
      </c>
      <c r="G27" s="440">
        <f>SUM(G32)</f>
        <v>58182</v>
      </c>
      <c r="H27" s="441">
        <f>G27/E27*100</f>
        <v>68.571226531838917</v>
      </c>
    </row>
    <row r="28" spans="1:37" s="58" customFormat="1" ht="15" thickBot="1" x14ac:dyDescent="0.25">
      <c r="A28" s="434"/>
      <c r="B28" s="437"/>
      <c r="C28" s="438">
        <v>82</v>
      </c>
      <c r="D28" s="249" t="s">
        <v>217</v>
      </c>
      <c r="E28" s="440">
        <v>186492</v>
      </c>
      <c r="F28" s="440">
        <v>186492</v>
      </c>
      <c r="G28" s="440">
        <f>SUM(G38)</f>
        <v>186492</v>
      </c>
      <c r="H28" s="441">
        <f>G28/E28*100</f>
        <v>100</v>
      </c>
    </row>
    <row r="29" spans="1:37" s="58" customFormat="1" ht="16.5" thickTop="1" thickBot="1" x14ac:dyDescent="0.3">
      <c r="A29" s="434"/>
      <c r="B29" s="1130" t="s">
        <v>106</v>
      </c>
      <c r="C29" s="1131"/>
      <c r="D29" s="1132"/>
      <c r="E29" s="430">
        <f>SUM(E27:E28)</f>
        <v>271341</v>
      </c>
      <c r="F29" s="430">
        <f>SUM(F27:F28)</f>
        <v>271341</v>
      </c>
      <c r="G29" s="430">
        <f>SUM(G27:G28)</f>
        <v>244674</v>
      </c>
      <c r="H29" s="431">
        <f>G29/E29*100</f>
        <v>90.172145013101584</v>
      </c>
    </row>
    <row r="30" spans="1:37" s="58" customFormat="1" ht="15" thickTop="1" x14ac:dyDescent="0.2">
      <c r="A30" s="434"/>
      <c r="B30" s="407"/>
      <c r="C30" s="407"/>
      <c r="F30" s="170"/>
      <c r="G30" s="170"/>
    </row>
    <row r="31" spans="1:37" s="58" customFormat="1" ht="15" x14ac:dyDescent="0.25">
      <c r="A31" s="434"/>
      <c r="B31" s="432" t="s">
        <v>190</v>
      </c>
      <c r="C31" s="442"/>
      <c r="D31" s="443"/>
      <c r="E31" s="443"/>
      <c r="F31" s="171"/>
      <c r="G31" s="171"/>
      <c r="H31" s="443"/>
    </row>
    <row r="32" spans="1:37" s="58" customFormat="1" ht="15.75" customHeight="1" thickBot="1" x14ac:dyDescent="0.3">
      <c r="A32" s="434"/>
      <c r="B32" s="1128" t="s">
        <v>218</v>
      </c>
      <c r="C32" s="1129"/>
      <c r="D32" s="1129"/>
      <c r="E32" s="1129"/>
      <c r="F32" s="1129"/>
      <c r="G32" s="1127">
        <f>SUM(G33)</f>
        <v>58182</v>
      </c>
      <c r="H32" s="1127"/>
    </row>
    <row r="33" spans="1:8" s="58" customFormat="1" ht="15.75" thickTop="1" x14ac:dyDescent="0.25">
      <c r="A33" s="434"/>
      <c r="B33" s="444" t="s">
        <v>219</v>
      </c>
      <c r="C33" s="407"/>
      <c r="F33" s="170"/>
      <c r="G33" s="1137">
        <f>SUM(G34:H36)</f>
        <v>58182</v>
      </c>
      <c r="H33" s="1138"/>
    </row>
    <row r="34" spans="1:8" s="58" customFormat="1" x14ac:dyDescent="0.2">
      <c r="A34" s="434"/>
      <c r="B34" s="408" t="s">
        <v>220</v>
      </c>
      <c r="C34" s="407"/>
      <c r="F34" s="170"/>
      <c r="G34" s="1135"/>
      <c r="H34" s="1135"/>
    </row>
    <row r="35" spans="1:8" s="58" customFormat="1" ht="15" x14ac:dyDescent="0.25">
      <c r="A35" s="434"/>
      <c r="B35" s="408" t="s">
        <v>524</v>
      </c>
      <c r="C35" s="407"/>
      <c r="F35" s="170"/>
      <c r="G35" s="1135">
        <v>18182</v>
      </c>
      <c r="H35" s="1136"/>
    </row>
    <row r="36" spans="1:8" s="58" customFormat="1" ht="15.75" customHeight="1" x14ac:dyDescent="0.25">
      <c r="A36" s="434"/>
      <c r="B36" s="408" t="s">
        <v>525</v>
      </c>
      <c r="C36" s="407"/>
      <c r="F36" s="170"/>
      <c r="G36" s="1135">
        <v>40000</v>
      </c>
      <c r="H36" s="1136"/>
    </row>
    <row r="37" spans="1:8" s="58" customFormat="1" ht="15.75" customHeight="1" x14ac:dyDescent="0.25">
      <c r="A37" s="434"/>
      <c r="B37" s="444"/>
      <c r="C37" s="407"/>
      <c r="F37" s="170"/>
      <c r="G37" s="170"/>
    </row>
    <row r="38" spans="1:8" s="58" customFormat="1" ht="15.75" thickBot="1" x14ac:dyDescent="0.3">
      <c r="A38" s="434"/>
      <c r="B38" s="1128" t="s">
        <v>221</v>
      </c>
      <c r="C38" s="1129"/>
      <c r="D38" s="1129"/>
      <c r="E38" s="1129"/>
      <c r="F38" s="1129"/>
      <c r="G38" s="1127">
        <f>SUM(G39)</f>
        <v>186492</v>
      </c>
      <c r="H38" s="1127"/>
    </row>
    <row r="39" spans="1:8" s="58" customFormat="1" ht="15" customHeight="1" thickTop="1" x14ac:dyDescent="0.25">
      <c r="A39" s="434"/>
      <c r="B39" s="444" t="s">
        <v>219</v>
      </c>
      <c r="C39" s="407"/>
      <c r="F39" s="170"/>
      <c r="G39" s="1137">
        <f>SUM(G40:H41)</f>
        <v>186492</v>
      </c>
      <c r="H39" s="1138"/>
    </row>
    <row r="40" spans="1:8" s="58" customFormat="1" ht="15" customHeight="1" x14ac:dyDescent="0.25">
      <c r="A40" s="434"/>
      <c r="B40" s="445" t="s">
        <v>222</v>
      </c>
      <c r="C40" s="446"/>
      <c r="D40" s="447"/>
      <c r="E40" s="447"/>
      <c r="F40" s="448"/>
      <c r="G40" s="1135">
        <v>43634</v>
      </c>
      <c r="H40" s="1136"/>
    </row>
    <row r="41" spans="1:8" s="58" customFormat="1" ht="15" x14ac:dyDescent="0.25">
      <c r="A41" s="434"/>
      <c r="B41" s="1121" t="s">
        <v>223</v>
      </c>
      <c r="C41" s="1122"/>
      <c r="D41" s="1122"/>
      <c r="E41" s="1122"/>
      <c r="F41" s="1123"/>
      <c r="G41" s="1124">
        <v>142858</v>
      </c>
      <c r="H41" s="1125"/>
    </row>
    <row r="42" spans="1:8" s="58" customFormat="1" x14ac:dyDescent="0.2">
      <c r="A42" s="434"/>
      <c r="B42" s="407"/>
      <c r="C42" s="407"/>
      <c r="F42" s="170"/>
      <c r="G42" s="170"/>
    </row>
    <row r="43" spans="1:8" s="58" customFormat="1" x14ac:dyDescent="0.2">
      <c r="A43" s="434"/>
      <c r="B43" s="407"/>
      <c r="C43" s="407"/>
      <c r="F43" s="170"/>
      <c r="G43" s="170"/>
    </row>
    <row r="44" spans="1:8" s="58" customFormat="1" x14ac:dyDescent="0.2">
      <c r="A44" s="434"/>
      <c r="B44" s="407"/>
      <c r="C44" s="407"/>
      <c r="F44" s="170"/>
      <c r="G44" s="170"/>
    </row>
    <row r="45" spans="1:8" s="58" customFormat="1" x14ac:dyDescent="0.2">
      <c r="A45" s="434"/>
      <c r="B45" s="407"/>
      <c r="C45" s="407"/>
      <c r="F45" s="170"/>
      <c r="G45" s="170"/>
    </row>
    <row r="46" spans="1:8" s="58" customFormat="1" x14ac:dyDescent="0.2">
      <c r="A46" s="434"/>
      <c r="B46" s="407"/>
      <c r="C46" s="407"/>
      <c r="F46" s="170"/>
      <c r="G46" s="170"/>
    </row>
    <row r="47" spans="1:8" s="58" customFormat="1" x14ac:dyDescent="0.2">
      <c r="A47" s="434"/>
      <c r="B47" s="407"/>
      <c r="C47" s="407"/>
      <c r="F47" s="170"/>
      <c r="G47" s="170"/>
    </row>
    <row r="48" spans="1:8" s="58" customFormat="1" x14ac:dyDescent="0.2">
      <c r="A48" s="434"/>
      <c r="B48" s="407"/>
      <c r="C48" s="407"/>
      <c r="F48" s="170"/>
      <c r="G48" s="170"/>
    </row>
    <row r="49" spans="1:7" s="58" customFormat="1" x14ac:dyDescent="0.2">
      <c r="A49" s="434"/>
      <c r="B49" s="407"/>
      <c r="C49" s="407"/>
      <c r="F49" s="170"/>
      <c r="G49" s="170"/>
    </row>
    <row r="50" spans="1:7" s="58" customFormat="1" x14ac:dyDescent="0.2">
      <c r="A50" s="434"/>
      <c r="B50" s="407"/>
      <c r="C50" s="407"/>
      <c r="F50" s="170"/>
      <c r="G50" s="170"/>
    </row>
    <row r="51" spans="1:7" s="58" customFormat="1" x14ac:dyDescent="0.2">
      <c r="A51" s="434"/>
      <c r="B51" s="407"/>
      <c r="C51" s="407"/>
      <c r="F51" s="170"/>
      <c r="G51" s="170"/>
    </row>
    <row r="52" spans="1:7" s="58" customFormat="1" x14ac:dyDescent="0.2">
      <c r="A52" s="434"/>
      <c r="B52" s="407"/>
      <c r="C52" s="407"/>
      <c r="F52" s="170"/>
      <c r="G52" s="170"/>
    </row>
    <row r="53" spans="1:7" s="58" customFormat="1" x14ac:dyDescent="0.2">
      <c r="A53" s="434"/>
      <c r="B53" s="407"/>
      <c r="C53" s="407"/>
      <c r="F53" s="170"/>
      <c r="G53" s="170"/>
    </row>
    <row r="54" spans="1:7" s="58" customFormat="1" x14ac:dyDescent="0.2">
      <c r="A54" s="434"/>
      <c r="B54" s="407"/>
      <c r="C54" s="407"/>
      <c r="F54" s="170"/>
      <c r="G54" s="170"/>
    </row>
    <row r="55" spans="1:7" s="58" customFormat="1" x14ac:dyDescent="0.2">
      <c r="A55" s="434"/>
      <c r="B55" s="407"/>
      <c r="C55" s="407"/>
      <c r="F55" s="170"/>
      <c r="G55" s="170"/>
    </row>
    <row r="56" spans="1:7" s="58" customFormat="1" x14ac:dyDescent="0.2">
      <c r="A56" s="434"/>
      <c r="B56" s="407"/>
      <c r="C56" s="407"/>
      <c r="F56" s="170"/>
      <c r="G56" s="170"/>
    </row>
    <row r="57" spans="1:7" s="58" customFormat="1" x14ac:dyDescent="0.2">
      <c r="A57" s="434"/>
      <c r="B57" s="407"/>
      <c r="C57" s="407"/>
      <c r="F57" s="170"/>
      <c r="G57" s="170"/>
    </row>
    <row r="58" spans="1:7" s="58" customFormat="1" x14ac:dyDescent="0.2">
      <c r="A58" s="434"/>
      <c r="B58" s="407"/>
      <c r="C58" s="407"/>
      <c r="F58" s="170"/>
      <c r="G58" s="170"/>
    </row>
    <row r="59" spans="1:7" s="58" customFormat="1" x14ac:dyDescent="0.2">
      <c r="A59" s="434"/>
      <c r="B59" s="407"/>
      <c r="C59" s="407"/>
      <c r="F59" s="170"/>
      <c r="G59" s="170"/>
    </row>
    <row r="60" spans="1:7" s="58" customFormat="1" x14ac:dyDescent="0.2">
      <c r="A60" s="434"/>
      <c r="B60" s="407"/>
      <c r="C60" s="407"/>
      <c r="F60" s="170"/>
      <c r="G60" s="170"/>
    </row>
    <row r="61" spans="1:7" s="58" customFormat="1" x14ac:dyDescent="0.2">
      <c r="A61" s="434"/>
      <c r="B61" s="407"/>
      <c r="C61" s="407"/>
      <c r="F61" s="170"/>
      <c r="G61" s="170"/>
    </row>
    <row r="62" spans="1:7" s="58" customFormat="1" x14ac:dyDescent="0.2">
      <c r="A62" s="434"/>
      <c r="B62" s="407"/>
      <c r="C62" s="407"/>
      <c r="F62" s="170"/>
      <c r="G62" s="170"/>
    </row>
    <row r="63" spans="1:7" s="58" customFormat="1" x14ac:dyDescent="0.2">
      <c r="A63" s="434"/>
      <c r="B63" s="407"/>
      <c r="C63" s="407"/>
      <c r="F63" s="170"/>
      <c r="G63" s="170"/>
    </row>
    <row r="64" spans="1:7" s="58" customFormat="1" x14ac:dyDescent="0.2">
      <c r="A64" s="434"/>
      <c r="B64" s="407"/>
      <c r="C64" s="407"/>
      <c r="F64" s="170"/>
      <c r="G64" s="170"/>
    </row>
    <row r="65" spans="1:7" s="58" customFormat="1" x14ac:dyDescent="0.2">
      <c r="A65" s="434"/>
      <c r="B65" s="407"/>
      <c r="C65" s="407"/>
      <c r="F65" s="170"/>
      <c r="G65" s="170"/>
    </row>
    <row r="66" spans="1:7" s="58" customFormat="1" x14ac:dyDescent="0.2">
      <c r="A66" s="434"/>
      <c r="B66" s="407"/>
      <c r="C66" s="407"/>
      <c r="F66" s="170"/>
      <c r="G66" s="170"/>
    </row>
    <row r="67" spans="1:7" s="58" customFormat="1" x14ac:dyDescent="0.2">
      <c r="A67" s="434"/>
      <c r="B67" s="407"/>
      <c r="C67" s="407"/>
      <c r="F67" s="170"/>
      <c r="G67" s="170"/>
    </row>
    <row r="68" spans="1:7" s="58" customFormat="1" x14ac:dyDescent="0.2">
      <c r="A68" s="434"/>
      <c r="B68" s="407"/>
      <c r="C68" s="407"/>
      <c r="F68" s="170"/>
      <c r="G68" s="170"/>
    </row>
    <row r="69" spans="1:7" s="58" customFormat="1" x14ac:dyDescent="0.2">
      <c r="A69" s="434"/>
      <c r="B69" s="407"/>
      <c r="C69" s="407"/>
      <c r="F69" s="170"/>
      <c r="G69" s="170"/>
    </row>
    <row r="70" spans="1:7" s="58" customFormat="1" x14ac:dyDescent="0.2">
      <c r="A70" s="434"/>
      <c r="B70" s="407"/>
      <c r="C70" s="407"/>
      <c r="F70" s="170"/>
      <c r="G70" s="170"/>
    </row>
    <row r="71" spans="1:7" s="58" customFormat="1" x14ac:dyDescent="0.2">
      <c r="A71" s="434"/>
      <c r="B71" s="407"/>
      <c r="C71" s="407"/>
      <c r="F71" s="170"/>
      <c r="G71" s="170"/>
    </row>
    <row r="72" spans="1:7" s="58" customFormat="1" x14ac:dyDescent="0.2">
      <c r="A72" s="434"/>
      <c r="B72" s="407"/>
      <c r="C72" s="407"/>
      <c r="F72" s="170"/>
      <c r="G72" s="170"/>
    </row>
    <row r="73" spans="1:7" s="58" customFormat="1" x14ac:dyDescent="0.2">
      <c r="A73" s="434"/>
      <c r="B73" s="407"/>
      <c r="C73" s="407"/>
      <c r="F73" s="170"/>
      <c r="G73" s="170"/>
    </row>
    <row r="74" spans="1:7" s="58" customFormat="1" x14ac:dyDescent="0.2">
      <c r="A74" s="434"/>
      <c r="B74" s="407"/>
      <c r="C74" s="407"/>
      <c r="F74" s="170"/>
      <c r="G74" s="170"/>
    </row>
    <row r="75" spans="1:7" s="58" customFormat="1" x14ac:dyDescent="0.2">
      <c r="A75" s="434"/>
      <c r="B75" s="407"/>
      <c r="C75" s="407"/>
      <c r="F75" s="170"/>
      <c r="G75" s="170"/>
    </row>
    <row r="76" spans="1:7" s="58" customFormat="1" x14ac:dyDescent="0.2">
      <c r="A76" s="434"/>
      <c r="B76" s="407"/>
      <c r="C76" s="407"/>
      <c r="F76" s="170"/>
      <c r="G76" s="170"/>
    </row>
    <row r="77" spans="1:7" s="58" customFormat="1" x14ac:dyDescent="0.2">
      <c r="A77" s="434"/>
      <c r="B77" s="407"/>
      <c r="C77" s="407"/>
      <c r="F77" s="170"/>
      <c r="G77" s="170"/>
    </row>
    <row r="78" spans="1:7" s="58" customFormat="1" x14ac:dyDescent="0.2">
      <c r="A78" s="434"/>
      <c r="B78" s="407"/>
      <c r="C78" s="407"/>
      <c r="F78" s="170"/>
      <c r="G78" s="170"/>
    </row>
    <row r="79" spans="1:7" s="58" customFormat="1" x14ac:dyDescent="0.2">
      <c r="A79" s="434"/>
      <c r="B79" s="407"/>
      <c r="C79" s="407"/>
      <c r="F79" s="170"/>
      <c r="G79" s="170"/>
    </row>
    <row r="80" spans="1:7" s="58" customFormat="1" x14ac:dyDescent="0.2">
      <c r="A80" s="434"/>
      <c r="B80" s="407"/>
      <c r="C80" s="407"/>
      <c r="F80" s="170"/>
      <c r="G80" s="170"/>
    </row>
    <row r="81" spans="1:7" s="58" customFormat="1" x14ac:dyDescent="0.2">
      <c r="A81" s="434"/>
      <c r="B81" s="407"/>
      <c r="C81" s="407"/>
      <c r="F81" s="170"/>
      <c r="G81" s="170"/>
    </row>
    <row r="82" spans="1:7" s="58" customFormat="1" x14ac:dyDescent="0.2">
      <c r="A82" s="434"/>
      <c r="B82" s="407"/>
      <c r="C82" s="407"/>
      <c r="F82" s="170"/>
      <c r="G82" s="170"/>
    </row>
    <row r="83" spans="1:7" s="58" customFormat="1" x14ac:dyDescent="0.2">
      <c r="A83" s="434"/>
      <c r="B83" s="407"/>
      <c r="C83" s="407"/>
      <c r="F83" s="170"/>
      <c r="G83" s="170"/>
    </row>
    <row r="84" spans="1:7" s="58" customFormat="1" x14ac:dyDescent="0.2">
      <c r="A84" s="434"/>
      <c r="B84" s="407"/>
      <c r="C84" s="407"/>
      <c r="F84" s="170"/>
      <c r="G84" s="170"/>
    </row>
    <row r="85" spans="1:7" s="58" customFormat="1" x14ac:dyDescent="0.2">
      <c r="A85" s="434"/>
      <c r="B85" s="407"/>
      <c r="C85" s="407"/>
      <c r="F85" s="170"/>
      <c r="G85" s="170"/>
    </row>
    <row r="86" spans="1:7" s="58" customFormat="1" x14ac:dyDescent="0.2">
      <c r="A86" s="434"/>
      <c r="B86" s="407"/>
      <c r="C86" s="407"/>
      <c r="F86" s="170"/>
      <c r="G86" s="170"/>
    </row>
    <row r="87" spans="1:7" s="58" customFormat="1" x14ac:dyDescent="0.2">
      <c r="A87" s="434"/>
      <c r="B87" s="407"/>
      <c r="C87" s="407"/>
      <c r="F87" s="170"/>
      <c r="G87" s="170"/>
    </row>
    <row r="88" spans="1:7" s="58" customFormat="1" x14ac:dyDescent="0.2">
      <c r="A88" s="434"/>
      <c r="B88" s="407"/>
      <c r="C88" s="407"/>
      <c r="F88" s="170"/>
      <c r="G88" s="170"/>
    </row>
    <row r="89" spans="1:7" s="58" customFormat="1" x14ac:dyDescent="0.2">
      <c r="A89" s="434"/>
      <c r="B89" s="407"/>
      <c r="C89" s="407"/>
      <c r="F89" s="170"/>
      <c r="G89" s="170"/>
    </row>
    <row r="90" spans="1:7" s="58" customFormat="1" x14ac:dyDescent="0.2">
      <c r="A90" s="434"/>
      <c r="B90" s="407"/>
      <c r="C90" s="407"/>
      <c r="F90" s="170"/>
      <c r="G90" s="170"/>
    </row>
    <row r="91" spans="1:7" s="58" customFormat="1" x14ac:dyDescent="0.2">
      <c r="A91" s="434"/>
      <c r="B91" s="407"/>
      <c r="C91" s="407"/>
      <c r="F91" s="170"/>
      <c r="G91" s="170"/>
    </row>
    <row r="92" spans="1:7" s="58" customFormat="1" x14ac:dyDescent="0.2">
      <c r="A92" s="434"/>
      <c r="B92" s="407"/>
      <c r="C92" s="407"/>
      <c r="F92" s="170"/>
      <c r="G92" s="170"/>
    </row>
    <row r="93" spans="1:7" s="58" customFormat="1" x14ac:dyDescent="0.2">
      <c r="A93" s="434"/>
      <c r="B93" s="407"/>
      <c r="C93" s="407"/>
      <c r="F93" s="170"/>
      <c r="G93" s="170"/>
    </row>
    <row r="94" spans="1:7" s="58" customFormat="1" x14ac:dyDescent="0.2">
      <c r="A94" s="434"/>
      <c r="B94" s="407"/>
      <c r="C94" s="407"/>
      <c r="F94" s="170"/>
      <c r="G94" s="170"/>
    </row>
    <row r="95" spans="1:7" s="58" customFormat="1" x14ac:dyDescent="0.2">
      <c r="A95" s="434"/>
      <c r="B95" s="407"/>
      <c r="C95" s="407"/>
      <c r="F95" s="170"/>
      <c r="G95" s="170"/>
    </row>
    <row r="96" spans="1:7" s="58" customFormat="1" x14ac:dyDescent="0.2">
      <c r="A96" s="434"/>
      <c r="B96" s="407"/>
      <c r="C96" s="407"/>
      <c r="F96" s="170"/>
      <c r="G96" s="170"/>
    </row>
    <row r="97" spans="1:7" s="58" customFormat="1" x14ac:dyDescent="0.2">
      <c r="A97" s="434"/>
      <c r="B97" s="407"/>
      <c r="C97" s="407"/>
      <c r="F97" s="170"/>
      <c r="G97" s="170"/>
    </row>
    <row r="98" spans="1:7" s="58" customFormat="1" x14ac:dyDescent="0.2">
      <c r="A98" s="434"/>
      <c r="B98" s="407"/>
      <c r="C98" s="407"/>
      <c r="F98" s="170"/>
      <c r="G98" s="170"/>
    </row>
    <row r="99" spans="1:7" s="58" customFormat="1" x14ac:dyDescent="0.2">
      <c r="A99" s="434"/>
      <c r="B99" s="407"/>
      <c r="C99" s="407"/>
      <c r="F99" s="170"/>
      <c r="G99" s="170"/>
    </row>
    <row r="100" spans="1:7" s="58" customFormat="1" x14ac:dyDescent="0.2">
      <c r="A100" s="434"/>
      <c r="B100" s="407"/>
      <c r="C100" s="407"/>
      <c r="F100" s="170"/>
      <c r="G100" s="170"/>
    </row>
    <row r="101" spans="1:7" s="58" customFormat="1" x14ac:dyDescent="0.2">
      <c r="A101" s="434"/>
      <c r="B101" s="407"/>
      <c r="C101" s="407"/>
      <c r="F101" s="170"/>
      <c r="G101" s="170"/>
    </row>
    <row r="102" spans="1:7" s="58" customFormat="1" x14ac:dyDescent="0.2">
      <c r="A102" s="434"/>
      <c r="B102" s="407"/>
      <c r="C102" s="407"/>
      <c r="F102" s="170"/>
      <c r="G102" s="170"/>
    </row>
    <row r="103" spans="1:7" s="58" customFormat="1" x14ac:dyDescent="0.2">
      <c r="A103" s="434"/>
      <c r="B103" s="407"/>
      <c r="C103" s="407"/>
      <c r="F103" s="170"/>
      <c r="G103" s="170"/>
    </row>
    <row r="104" spans="1:7" s="58" customFormat="1" x14ac:dyDescent="0.2">
      <c r="A104" s="434"/>
      <c r="B104" s="407"/>
      <c r="C104" s="407"/>
      <c r="F104" s="170"/>
      <c r="G104" s="170"/>
    </row>
    <row r="105" spans="1:7" s="58" customFormat="1" x14ac:dyDescent="0.2">
      <c r="A105" s="434"/>
      <c r="B105" s="407"/>
      <c r="C105" s="407"/>
      <c r="F105" s="170"/>
      <c r="G105" s="170"/>
    </row>
    <row r="106" spans="1:7" s="58" customFormat="1" x14ac:dyDescent="0.2">
      <c r="A106" s="434"/>
      <c r="B106" s="407"/>
      <c r="C106" s="407"/>
      <c r="F106" s="170"/>
      <c r="G106" s="170"/>
    </row>
    <row r="107" spans="1:7" s="58" customFormat="1" x14ac:dyDescent="0.2">
      <c r="A107" s="434"/>
      <c r="B107" s="407"/>
      <c r="C107" s="407"/>
      <c r="F107" s="170"/>
      <c r="G107" s="170"/>
    </row>
    <row r="108" spans="1:7" s="58" customFormat="1" x14ac:dyDescent="0.2">
      <c r="A108" s="434"/>
      <c r="B108" s="407"/>
      <c r="C108" s="407"/>
      <c r="F108" s="170"/>
      <c r="G108" s="170"/>
    </row>
    <row r="109" spans="1:7" s="58" customFormat="1" x14ac:dyDescent="0.2">
      <c r="A109" s="434"/>
      <c r="B109" s="407"/>
      <c r="C109" s="407"/>
      <c r="F109" s="170"/>
      <c r="G109" s="170"/>
    </row>
    <row r="110" spans="1:7" s="58" customFormat="1" x14ac:dyDescent="0.2">
      <c r="A110" s="434"/>
      <c r="B110" s="407"/>
      <c r="C110" s="407"/>
      <c r="F110" s="170"/>
      <c r="G110" s="170"/>
    </row>
    <row r="111" spans="1:7" s="58" customFormat="1" x14ac:dyDescent="0.2">
      <c r="A111" s="434"/>
      <c r="B111" s="407"/>
      <c r="C111" s="407"/>
      <c r="F111" s="170"/>
      <c r="G111" s="170"/>
    </row>
    <row r="112" spans="1:7" s="58" customFormat="1" x14ac:dyDescent="0.2">
      <c r="A112" s="434"/>
      <c r="B112" s="407"/>
      <c r="C112" s="407"/>
      <c r="F112" s="170"/>
      <c r="G112" s="170"/>
    </row>
    <row r="113" spans="1:7" s="58" customFormat="1" x14ac:dyDescent="0.2">
      <c r="A113" s="434"/>
      <c r="B113" s="407"/>
      <c r="C113" s="407"/>
      <c r="F113" s="170"/>
      <c r="G113" s="170"/>
    </row>
    <row r="114" spans="1:7" s="58" customFormat="1" x14ac:dyDescent="0.2">
      <c r="A114" s="434"/>
      <c r="B114" s="407"/>
      <c r="C114" s="407"/>
      <c r="F114" s="170"/>
      <c r="G114" s="170"/>
    </row>
    <row r="115" spans="1:7" s="58" customFormat="1" x14ac:dyDescent="0.2">
      <c r="A115" s="434"/>
      <c r="B115" s="407"/>
      <c r="C115" s="407"/>
      <c r="F115" s="170"/>
      <c r="G115" s="170"/>
    </row>
    <row r="116" spans="1:7" s="58" customFormat="1" x14ac:dyDescent="0.2">
      <c r="A116" s="434"/>
      <c r="B116" s="407"/>
      <c r="C116" s="407"/>
      <c r="F116" s="170"/>
      <c r="G116" s="170"/>
    </row>
    <row r="117" spans="1:7" s="58" customFormat="1" x14ac:dyDescent="0.2">
      <c r="A117" s="434"/>
      <c r="B117" s="407"/>
      <c r="C117" s="407"/>
      <c r="F117" s="170"/>
      <c r="G117" s="170"/>
    </row>
    <row r="118" spans="1:7" s="58" customFormat="1" x14ac:dyDescent="0.2">
      <c r="A118" s="434"/>
      <c r="B118" s="407"/>
      <c r="C118" s="407"/>
      <c r="F118" s="170"/>
      <c r="G118" s="170"/>
    </row>
    <row r="119" spans="1:7" s="58" customFormat="1" x14ac:dyDescent="0.2">
      <c r="A119" s="434"/>
      <c r="B119" s="407"/>
      <c r="C119" s="407"/>
      <c r="F119" s="170"/>
      <c r="G119" s="170"/>
    </row>
    <row r="120" spans="1:7" s="58" customFormat="1" x14ac:dyDescent="0.2">
      <c r="A120" s="434"/>
      <c r="B120" s="407"/>
      <c r="C120" s="407"/>
      <c r="F120" s="170"/>
      <c r="G120" s="170"/>
    </row>
    <row r="121" spans="1:7" s="58" customFormat="1" x14ac:dyDescent="0.2">
      <c r="A121" s="434"/>
      <c r="B121" s="407"/>
      <c r="C121" s="407"/>
      <c r="F121" s="170"/>
      <c r="G121" s="170"/>
    </row>
    <row r="122" spans="1:7" s="58" customFormat="1" x14ac:dyDescent="0.2">
      <c r="A122" s="434"/>
      <c r="B122" s="407"/>
      <c r="C122" s="407"/>
      <c r="F122" s="170"/>
      <c r="G122" s="170"/>
    </row>
    <row r="123" spans="1:7" s="58" customFormat="1" x14ac:dyDescent="0.2">
      <c r="A123" s="434"/>
      <c r="B123" s="407"/>
      <c r="C123" s="407"/>
      <c r="F123" s="170"/>
      <c r="G123" s="170"/>
    </row>
    <row r="124" spans="1:7" s="58" customFormat="1" x14ac:dyDescent="0.2">
      <c r="A124" s="434"/>
      <c r="B124" s="407"/>
      <c r="C124" s="407"/>
      <c r="F124" s="170"/>
      <c r="G124" s="170"/>
    </row>
    <row r="125" spans="1:7" s="58" customFormat="1" x14ac:dyDescent="0.2">
      <c r="A125" s="434"/>
      <c r="B125" s="407"/>
      <c r="C125" s="407"/>
      <c r="F125" s="170"/>
      <c r="G125" s="170"/>
    </row>
    <row r="126" spans="1:7" s="58" customFormat="1" x14ac:dyDescent="0.2">
      <c r="A126" s="434"/>
      <c r="B126" s="407"/>
      <c r="C126" s="407"/>
      <c r="F126" s="170"/>
      <c r="G126" s="170"/>
    </row>
    <row r="127" spans="1:7" s="58" customFormat="1" x14ac:dyDescent="0.2">
      <c r="A127" s="434"/>
      <c r="B127" s="407"/>
      <c r="C127" s="407"/>
      <c r="F127" s="170"/>
      <c r="G127" s="170"/>
    </row>
    <row r="128" spans="1:7" s="58" customFormat="1" x14ac:dyDescent="0.2">
      <c r="A128" s="434"/>
      <c r="B128" s="407"/>
      <c r="C128" s="407"/>
      <c r="F128" s="170"/>
      <c r="G128" s="170"/>
    </row>
    <row r="129" spans="1:7" s="58" customFormat="1" x14ac:dyDescent="0.2">
      <c r="A129" s="434"/>
      <c r="B129" s="407"/>
      <c r="C129" s="407"/>
      <c r="F129" s="170"/>
      <c r="G129" s="170"/>
    </row>
    <row r="130" spans="1:7" s="58" customFormat="1" x14ac:dyDescent="0.2">
      <c r="A130" s="434"/>
      <c r="B130" s="407"/>
      <c r="C130" s="407"/>
      <c r="F130" s="170"/>
      <c r="G130" s="170"/>
    </row>
    <row r="131" spans="1:7" s="58" customFormat="1" x14ac:dyDescent="0.2">
      <c r="A131" s="434"/>
      <c r="B131" s="407"/>
      <c r="C131" s="407"/>
      <c r="F131" s="170"/>
      <c r="G131" s="170"/>
    </row>
    <row r="132" spans="1:7" s="58" customFormat="1" x14ac:dyDescent="0.2">
      <c r="A132" s="434"/>
      <c r="B132" s="407"/>
      <c r="C132" s="407"/>
      <c r="F132" s="170"/>
      <c r="G132" s="170"/>
    </row>
    <row r="133" spans="1:7" s="58" customFormat="1" x14ac:dyDescent="0.2">
      <c r="A133" s="434"/>
      <c r="B133" s="407"/>
      <c r="C133" s="407"/>
      <c r="F133" s="170"/>
      <c r="G133" s="170"/>
    </row>
    <row r="134" spans="1:7" s="58" customFormat="1" x14ac:dyDescent="0.2">
      <c r="A134" s="434"/>
      <c r="B134" s="407"/>
      <c r="C134" s="407"/>
      <c r="F134" s="170"/>
      <c r="G134" s="170"/>
    </row>
    <row r="135" spans="1:7" s="58" customFormat="1" x14ac:dyDescent="0.2">
      <c r="A135" s="434"/>
      <c r="B135" s="407"/>
      <c r="C135" s="407"/>
      <c r="F135" s="170"/>
      <c r="G135" s="170"/>
    </row>
    <row r="136" spans="1:7" s="58" customFormat="1" x14ac:dyDescent="0.2">
      <c r="A136" s="434"/>
      <c r="B136" s="407"/>
      <c r="C136" s="407"/>
      <c r="F136" s="170"/>
      <c r="G136" s="170"/>
    </row>
    <row r="137" spans="1:7" s="58" customFormat="1" x14ac:dyDescent="0.2">
      <c r="A137" s="434"/>
      <c r="B137" s="407"/>
      <c r="C137" s="407"/>
      <c r="F137" s="170"/>
      <c r="G137" s="170"/>
    </row>
    <row r="138" spans="1:7" s="58" customFormat="1" x14ac:dyDescent="0.2">
      <c r="A138" s="434"/>
      <c r="B138" s="407"/>
      <c r="C138" s="407"/>
      <c r="F138" s="170"/>
      <c r="G138" s="170"/>
    </row>
    <row r="139" spans="1:7" s="58" customFormat="1" x14ac:dyDescent="0.2">
      <c r="A139" s="434"/>
      <c r="B139" s="407"/>
      <c r="C139" s="407"/>
      <c r="F139" s="170"/>
      <c r="G139" s="170"/>
    </row>
    <row r="140" spans="1:7" s="58" customFormat="1" x14ac:dyDescent="0.2">
      <c r="A140" s="434"/>
      <c r="B140" s="407"/>
      <c r="C140" s="407"/>
      <c r="F140" s="170"/>
      <c r="G140" s="170"/>
    </row>
    <row r="141" spans="1:7" s="58" customFormat="1" x14ac:dyDescent="0.2">
      <c r="A141" s="434"/>
      <c r="B141" s="407"/>
      <c r="C141" s="407"/>
      <c r="F141" s="170"/>
      <c r="G141" s="170"/>
    </row>
    <row r="142" spans="1:7" s="58" customFormat="1" x14ac:dyDescent="0.2">
      <c r="A142" s="434"/>
      <c r="B142" s="407"/>
      <c r="C142" s="407"/>
      <c r="F142" s="170"/>
      <c r="G142" s="170"/>
    </row>
    <row r="143" spans="1:7" s="58" customFormat="1" x14ac:dyDescent="0.2">
      <c r="A143" s="434"/>
      <c r="B143" s="407"/>
      <c r="C143" s="407"/>
      <c r="F143" s="170"/>
      <c r="G143" s="170"/>
    </row>
    <row r="144" spans="1:7" s="58" customFormat="1" x14ac:dyDescent="0.2">
      <c r="A144" s="434"/>
      <c r="B144" s="407"/>
      <c r="C144" s="407"/>
      <c r="F144" s="170"/>
      <c r="G144" s="170"/>
    </row>
    <row r="145" spans="1:7" s="58" customFormat="1" x14ac:dyDescent="0.2">
      <c r="A145" s="434"/>
      <c r="B145" s="407"/>
      <c r="C145" s="407"/>
      <c r="F145" s="170"/>
      <c r="G145" s="170"/>
    </row>
    <row r="146" spans="1:7" s="58" customFormat="1" x14ac:dyDescent="0.2">
      <c r="A146" s="434"/>
      <c r="B146" s="407"/>
      <c r="C146" s="407"/>
      <c r="F146" s="170"/>
      <c r="G146" s="170"/>
    </row>
    <row r="147" spans="1:7" s="58" customFormat="1" x14ac:dyDescent="0.2">
      <c r="A147" s="434"/>
      <c r="B147" s="407"/>
      <c r="C147" s="407"/>
      <c r="F147" s="170"/>
      <c r="G147" s="170"/>
    </row>
    <row r="148" spans="1:7" s="58" customFormat="1" x14ac:dyDescent="0.2">
      <c r="A148" s="434"/>
      <c r="B148" s="407"/>
      <c r="C148" s="407"/>
      <c r="F148" s="170"/>
      <c r="G148" s="170"/>
    </row>
    <row r="149" spans="1:7" s="58" customFormat="1" x14ac:dyDescent="0.2">
      <c r="A149" s="434"/>
      <c r="B149" s="407"/>
      <c r="C149" s="407"/>
      <c r="F149" s="170"/>
      <c r="G149" s="170"/>
    </row>
    <row r="150" spans="1:7" s="58" customFormat="1" x14ac:dyDescent="0.2">
      <c r="A150" s="434"/>
      <c r="B150" s="407"/>
      <c r="C150" s="407"/>
      <c r="F150" s="170"/>
      <c r="G150" s="170"/>
    </row>
    <row r="151" spans="1:7" s="58" customFormat="1" x14ac:dyDescent="0.2">
      <c r="A151" s="434"/>
      <c r="B151" s="407"/>
      <c r="C151" s="407"/>
      <c r="F151" s="170"/>
      <c r="G151" s="170"/>
    </row>
    <row r="152" spans="1:7" s="58" customFormat="1" x14ac:dyDescent="0.2">
      <c r="A152" s="434"/>
      <c r="B152" s="407"/>
      <c r="C152" s="407"/>
      <c r="F152" s="170"/>
      <c r="G152" s="170"/>
    </row>
    <row r="153" spans="1:7" s="58" customFormat="1" x14ac:dyDescent="0.2">
      <c r="A153" s="434"/>
      <c r="B153" s="407"/>
      <c r="C153" s="407"/>
      <c r="F153" s="170"/>
      <c r="G153" s="170"/>
    </row>
    <row r="154" spans="1:7" s="58" customFormat="1" x14ac:dyDescent="0.2">
      <c r="A154" s="434"/>
      <c r="B154" s="407"/>
      <c r="C154" s="407"/>
      <c r="F154" s="170"/>
      <c r="G154" s="170"/>
    </row>
    <row r="155" spans="1:7" s="58" customFormat="1" x14ac:dyDescent="0.2">
      <c r="A155" s="434"/>
      <c r="B155" s="407"/>
      <c r="C155" s="407"/>
      <c r="F155" s="170"/>
      <c r="G155" s="170"/>
    </row>
    <row r="156" spans="1:7" s="58" customFormat="1" x14ac:dyDescent="0.2">
      <c r="A156" s="434"/>
      <c r="B156" s="407"/>
      <c r="C156" s="407"/>
      <c r="F156" s="170"/>
      <c r="G156" s="170"/>
    </row>
    <row r="157" spans="1:7" s="58" customFormat="1" x14ac:dyDescent="0.2">
      <c r="A157" s="434"/>
      <c r="B157" s="407"/>
      <c r="C157" s="407"/>
      <c r="F157" s="170"/>
      <c r="G157" s="170"/>
    </row>
    <row r="158" spans="1:7" s="58" customFormat="1" x14ac:dyDescent="0.2">
      <c r="A158" s="434"/>
      <c r="B158" s="407"/>
      <c r="C158" s="407"/>
      <c r="F158" s="170"/>
      <c r="G158" s="170"/>
    </row>
    <row r="159" spans="1:7" s="58" customFormat="1" x14ac:dyDescent="0.2">
      <c r="A159" s="434"/>
      <c r="B159" s="407"/>
      <c r="C159" s="407"/>
      <c r="F159" s="170"/>
      <c r="G159" s="170"/>
    </row>
    <row r="160" spans="1:7" s="58" customFormat="1" x14ac:dyDescent="0.2">
      <c r="A160" s="434"/>
      <c r="B160" s="407"/>
      <c r="C160" s="407"/>
      <c r="F160" s="170"/>
      <c r="G160" s="170"/>
    </row>
    <row r="161" spans="1:7" s="58" customFormat="1" x14ac:dyDescent="0.2">
      <c r="A161" s="434"/>
      <c r="B161" s="407"/>
      <c r="C161" s="407"/>
      <c r="F161" s="170"/>
      <c r="G161" s="170"/>
    </row>
    <row r="162" spans="1:7" s="58" customFormat="1" x14ac:dyDescent="0.2">
      <c r="A162" s="434"/>
      <c r="B162" s="407"/>
      <c r="C162" s="407"/>
      <c r="F162" s="170"/>
      <c r="G162" s="170"/>
    </row>
    <row r="163" spans="1:7" s="58" customFormat="1" x14ac:dyDescent="0.2">
      <c r="A163" s="434"/>
      <c r="B163" s="407"/>
      <c r="C163" s="407"/>
      <c r="F163" s="170"/>
      <c r="G163" s="170"/>
    </row>
    <row r="164" spans="1:7" s="58" customFormat="1" x14ac:dyDescent="0.2">
      <c r="A164" s="434"/>
      <c r="B164" s="407"/>
      <c r="C164" s="407"/>
      <c r="F164" s="170"/>
      <c r="G164" s="170"/>
    </row>
    <row r="165" spans="1:7" s="58" customFormat="1" x14ac:dyDescent="0.2">
      <c r="A165" s="434"/>
      <c r="B165" s="407"/>
      <c r="C165" s="407"/>
      <c r="F165" s="170"/>
      <c r="G165" s="170"/>
    </row>
    <row r="166" spans="1:7" s="58" customFormat="1" x14ac:dyDescent="0.2">
      <c r="A166" s="434"/>
      <c r="B166" s="407"/>
      <c r="C166" s="407"/>
      <c r="F166" s="170"/>
      <c r="G166" s="170"/>
    </row>
    <row r="167" spans="1:7" s="58" customFormat="1" x14ac:dyDescent="0.2">
      <c r="A167" s="434"/>
      <c r="B167" s="407"/>
      <c r="C167" s="407"/>
      <c r="F167" s="170"/>
      <c r="G167" s="170"/>
    </row>
    <row r="168" spans="1:7" s="58" customFormat="1" x14ac:dyDescent="0.2">
      <c r="A168" s="434"/>
      <c r="B168" s="407"/>
      <c r="C168" s="407"/>
      <c r="F168" s="170"/>
      <c r="G168" s="170"/>
    </row>
    <row r="169" spans="1:7" s="58" customFormat="1" x14ac:dyDescent="0.2">
      <c r="A169" s="434"/>
      <c r="B169" s="407"/>
      <c r="C169" s="407"/>
      <c r="F169" s="170"/>
      <c r="G169" s="170"/>
    </row>
    <row r="170" spans="1:7" s="58" customFormat="1" x14ac:dyDescent="0.2">
      <c r="A170" s="434"/>
      <c r="B170" s="407"/>
      <c r="C170" s="407"/>
      <c r="F170" s="170"/>
      <c r="G170" s="170"/>
    </row>
    <row r="171" spans="1:7" s="58" customFormat="1" x14ac:dyDescent="0.2">
      <c r="A171" s="434"/>
      <c r="B171" s="407"/>
      <c r="C171" s="407"/>
      <c r="F171" s="170"/>
      <c r="G171" s="170"/>
    </row>
    <row r="172" spans="1:7" s="58" customFormat="1" x14ac:dyDescent="0.2">
      <c r="A172" s="434"/>
      <c r="B172" s="407"/>
      <c r="C172" s="407"/>
      <c r="F172" s="170"/>
      <c r="G172" s="170"/>
    </row>
    <row r="173" spans="1:7" s="58" customFormat="1" x14ac:dyDescent="0.2">
      <c r="A173" s="434"/>
      <c r="B173" s="407"/>
      <c r="C173" s="407"/>
      <c r="F173" s="170"/>
      <c r="G173" s="170"/>
    </row>
    <row r="174" spans="1:7" s="58" customFormat="1" x14ac:dyDescent="0.2">
      <c r="A174" s="434"/>
      <c r="B174" s="407"/>
      <c r="C174" s="407"/>
      <c r="F174" s="170"/>
      <c r="G174" s="170"/>
    </row>
    <row r="175" spans="1:7" s="58" customFormat="1" x14ac:dyDescent="0.2">
      <c r="A175" s="434"/>
      <c r="B175" s="407"/>
      <c r="C175" s="407"/>
      <c r="F175" s="170"/>
      <c r="G175" s="170"/>
    </row>
    <row r="176" spans="1:7" s="58" customFormat="1" x14ac:dyDescent="0.2">
      <c r="A176" s="434"/>
      <c r="B176" s="407"/>
      <c r="C176" s="407"/>
      <c r="F176" s="170"/>
      <c r="G176" s="170"/>
    </row>
    <row r="177" spans="1:7" s="58" customFormat="1" x14ac:dyDescent="0.2">
      <c r="A177" s="434"/>
      <c r="B177" s="407"/>
      <c r="C177" s="407"/>
      <c r="F177" s="170"/>
      <c r="G177" s="170"/>
    </row>
    <row r="178" spans="1:7" s="58" customFormat="1" x14ac:dyDescent="0.2">
      <c r="A178" s="434"/>
      <c r="B178" s="407"/>
      <c r="C178" s="407"/>
      <c r="F178" s="170"/>
      <c r="G178" s="170"/>
    </row>
    <row r="179" spans="1:7" s="58" customFormat="1" x14ac:dyDescent="0.2">
      <c r="A179" s="434"/>
      <c r="B179" s="407"/>
      <c r="C179" s="407"/>
      <c r="F179" s="170"/>
      <c r="G179" s="170"/>
    </row>
    <row r="180" spans="1:7" s="58" customFormat="1" x14ac:dyDescent="0.2">
      <c r="A180" s="434"/>
      <c r="B180" s="407"/>
      <c r="C180" s="407"/>
      <c r="F180" s="170"/>
      <c r="G180" s="170"/>
    </row>
    <row r="181" spans="1:7" s="58" customFormat="1" x14ac:dyDescent="0.2">
      <c r="A181" s="434"/>
      <c r="B181" s="407"/>
      <c r="C181" s="407"/>
      <c r="F181" s="170"/>
      <c r="G181" s="170"/>
    </row>
    <row r="182" spans="1:7" s="58" customFormat="1" x14ac:dyDescent="0.2">
      <c r="A182" s="434"/>
      <c r="B182" s="407"/>
      <c r="C182" s="407"/>
      <c r="F182" s="170"/>
      <c r="G182" s="170"/>
    </row>
    <row r="183" spans="1:7" s="58" customFormat="1" x14ac:dyDescent="0.2">
      <c r="A183" s="434"/>
      <c r="B183" s="407"/>
      <c r="C183" s="407"/>
      <c r="F183" s="170"/>
      <c r="G183" s="170"/>
    </row>
    <row r="184" spans="1:7" s="58" customFormat="1" x14ac:dyDescent="0.2">
      <c r="A184" s="434"/>
      <c r="B184" s="407"/>
      <c r="C184" s="407"/>
      <c r="F184" s="170"/>
      <c r="G184" s="170"/>
    </row>
    <row r="185" spans="1:7" s="58" customFormat="1" x14ac:dyDescent="0.2">
      <c r="A185" s="434"/>
      <c r="B185" s="407"/>
      <c r="C185" s="407"/>
      <c r="F185" s="170"/>
      <c r="G185" s="170"/>
    </row>
    <row r="186" spans="1:7" s="58" customFormat="1" x14ac:dyDescent="0.2">
      <c r="A186" s="434"/>
      <c r="B186" s="407"/>
      <c r="C186" s="407"/>
      <c r="F186" s="170"/>
      <c r="G186" s="170"/>
    </row>
    <row r="187" spans="1:7" s="58" customFormat="1" x14ac:dyDescent="0.2">
      <c r="A187" s="434"/>
      <c r="B187" s="407"/>
      <c r="C187" s="407"/>
      <c r="F187" s="170"/>
      <c r="G187" s="170"/>
    </row>
    <row r="188" spans="1:7" s="58" customFormat="1" x14ac:dyDescent="0.2">
      <c r="A188" s="434"/>
      <c r="B188" s="407"/>
      <c r="C188" s="407"/>
      <c r="F188" s="170"/>
      <c r="G188" s="170"/>
    </row>
    <row r="189" spans="1:7" s="58" customFormat="1" x14ac:dyDescent="0.2">
      <c r="A189" s="434"/>
      <c r="B189" s="407"/>
      <c r="C189" s="407"/>
      <c r="F189" s="170"/>
      <c r="G189" s="170"/>
    </row>
    <row r="190" spans="1:7" s="58" customFormat="1" x14ac:dyDescent="0.2">
      <c r="A190" s="434"/>
      <c r="B190" s="407"/>
      <c r="C190" s="407"/>
      <c r="F190" s="170"/>
      <c r="G190" s="170"/>
    </row>
    <row r="191" spans="1:7" s="58" customFormat="1" x14ac:dyDescent="0.2">
      <c r="A191" s="434"/>
      <c r="B191" s="407"/>
      <c r="C191" s="407"/>
      <c r="F191" s="170"/>
      <c r="G191" s="170"/>
    </row>
    <row r="192" spans="1:7" s="58" customFormat="1" x14ac:dyDescent="0.2">
      <c r="A192" s="434"/>
      <c r="B192" s="407"/>
      <c r="C192" s="407"/>
      <c r="F192" s="170"/>
      <c r="G192" s="170"/>
    </row>
  </sheetData>
  <mergeCells count="20">
    <mergeCell ref="B12:D12"/>
    <mergeCell ref="G15:H15"/>
    <mergeCell ref="B15:F15"/>
    <mergeCell ref="G16:H16"/>
    <mergeCell ref="G40:H40"/>
    <mergeCell ref="G39:H39"/>
    <mergeCell ref="B29:D29"/>
    <mergeCell ref="B32:F32"/>
    <mergeCell ref="G32:H32"/>
    <mergeCell ref="G33:H33"/>
    <mergeCell ref="G34:H34"/>
    <mergeCell ref="G35:H35"/>
    <mergeCell ref="G38:H38"/>
    <mergeCell ref="G36:H36"/>
    <mergeCell ref="B38:F38"/>
    <mergeCell ref="B41:F41"/>
    <mergeCell ref="G41:H41"/>
    <mergeCell ref="G18:H18"/>
    <mergeCell ref="G17:H17"/>
    <mergeCell ref="B17:F17"/>
  </mergeCells>
  <pageMargins left="0.70866141732283472" right="0.70866141732283472" top="0.78740157480314965" bottom="0.78740157480314965" header="0.31496062992125984" footer="0.31496062992125984"/>
  <pageSetup paperSize="9" scale="67" firstPageNumber="18" orientation="portrait" useFirstPageNumber="1" r:id="rId1"/>
  <headerFooter>
    <oddFooter>&amp;L&amp;"Arial,Kurzíva"Zastupitelstvo Olomouckého kraje 11.12.2023
2.1. - Rozpočet Olomouckého kraje na rok 2024 - návrh rozpočtu
Příloha č. 1: Návrh rozpočtu OK na rok 2024 (bilance) - zkrácená verze&amp;R&amp;"-,Kurzíva"Strana &amp;P (Celkem 216)</oddFooter>
  </headerFooter>
  <colBreaks count="1" manualBreakCount="1">
    <brk id="9" min="1" max="22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CFFFF"/>
    <pageSetUpPr fitToPage="1"/>
  </sheetPr>
  <dimension ref="A1:J36"/>
  <sheetViews>
    <sheetView showGridLines="0" view="pageBreakPreview" zoomScaleNormal="80" zoomScaleSheetLayoutView="100" workbookViewId="0">
      <selection activeCell="G18" sqref="G18"/>
    </sheetView>
  </sheetViews>
  <sheetFormatPr defaultColWidth="9.140625" defaultRowHeight="12.75" x14ac:dyDescent="0.2"/>
  <cols>
    <col min="1" max="1" width="9.28515625" style="652" customWidth="1"/>
    <col min="2" max="2" width="25.28515625" style="652" customWidth="1"/>
    <col min="3" max="3" width="25.7109375" style="652" customWidth="1"/>
    <col min="4" max="4" width="24.5703125" style="652" customWidth="1"/>
    <col min="5" max="5" width="20.42578125" style="652" customWidth="1"/>
    <col min="6" max="6" width="19.42578125" style="652" customWidth="1"/>
    <col min="7" max="7" width="24.140625" style="652" customWidth="1"/>
    <col min="8" max="8" width="27" style="652" customWidth="1"/>
    <col min="9" max="9" width="12.85546875" style="652" customWidth="1"/>
    <col min="10" max="10" width="11.140625" style="652" customWidth="1"/>
    <col min="11" max="16384" width="9.140625" style="652"/>
  </cols>
  <sheetData>
    <row r="1" spans="1:10" ht="18" x14ac:dyDescent="0.25">
      <c r="A1" s="359" t="s">
        <v>519</v>
      </c>
    </row>
    <row r="2" spans="1:10" ht="18" x14ac:dyDescent="0.25">
      <c r="A2" s="359" t="s">
        <v>387</v>
      </c>
    </row>
    <row r="3" spans="1:10" ht="13.5" thickBot="1" x14ac:dyDescent="0.25">
      <c r="H3" s="867" t="s">
        <v>0</v>
      </c>
    </row>
    <row r="4" spans="1:10" ht="36.75" thickBot="1" x14ac:dyDescent="0.25">
      <c r="A4" s="1143" t="s">
        <v>305</v>
      </c>
      <c r="B4" s="1144"/>
      <c r="C4" s="803" t="s">
        <v>306</v>
      </c>
      <c r="D4" s="803" t="s">
        <v>307</v>
      </c>
      <c r="E4" s="803" t="s">
        <v>207</v>
      </c>
      <c r="F4" s="803" t="s">
        <v>208</v>
      </c>
      <c r="G4" s="804" t="s">
        <v>209</v>
      </c>
      <c r="H4" s="805" t="s">
        <v>513</v>
      </c>
      <c r="I4" s="996" t="s">
        <v>514</v>
      </c>
      <c r="J4" s="997" t="s">
        <v>515</v>
      </c>
    </row>
    <row r="5" spans="1:10" s="139" customFormat="1" ht="15" x14ac:dyDescent="0.2">
      <c r="A5" s="653" t="s">
        <v>308</v>
      </c>
      <c r="B5" s="654" t="s">
        <v>309</v>
      </c>
      <c r="C5" s="806"/>
      <c r="D5" s="806"/>
      <c r="E5" s="655"/>
      <c r="F5" s="806"/>
      <c r="G5" s="806">
        <f>[27]Souhrn!$G$12</f>
        <v>19233</v>
      </c>
      <c r="H5" s="656">
        <f>SUM(C5:G5)</f>
        <v>19233</v>
      </c>
      <c r="I5" s="1008">
        <f>SUM(G5)</f>
        <v>19233</v>
      </c>
      <c r="J5" s="1009"/>
    </row>
    <row r="6" spans="1:10" s="139" customFormat="1" ht="15" x14ac:dyDescent="0.2">
      <c r="A6" s="657" t="s">
        <v>310</v>
      </c>
      <c r="B6" s="654" t="s">
        <v>311</v>
      </c>
      <c r="C6" s="807"/>
      <c r="D6" s="807"/>
      <c r="E6" s="658"/>
      <c r="F6" s="807">
        <f>[28]Souhrn!$F$14</f>
        <v>4000</v>
      </c>
      <c r="G6" s="807">
        <f>[28]Souhrn!$G$14</f>
        <v>279300</v>
      </c>
      <c r="H6" s="659">
        <f t="shared" ref="H6:H12" si="0">SUM(C6:G6)</f>
        <v>283300</v>
      </c>
      <c r="I6" s="1010">
        <v>500</v>
      </c>
      <c r="J6" s="660">
        <f>G6+F6-500</f>
        <v>282800</v>
      </c>
    </row>
    <row r="7" spans="1:10" s="139" customFormat="1" ht="15" x14ac:dyDescent="0.2">
      <c r="A7" s="657" t="s">
        <v>312</v>
      </c>
      <c r="B7" s="654" t="s">
        <v>313</v>
      </c>
      <c r="C7" s="807"/>
      <c r="D7" s="807"/>
      <c r="E7" s="658"/>
      <c r="F7" s="807"/>
      <c r="G7" s="807">
        <f>[29]Souhrn!$G$16</f>
        <v>58980</v>
      </c>
      <c r="H7" s="659">
        <f>SUM(C7:G7)</f>
        <v>58980</v>
      </c>
      <c r="I7" s="1008">
        <f>SUM(F7:G7)</f>
        <v>58980</v>
      </c>
      <c r="J7" s="1009"/>
    </row>
    <row r="8" spans="1:10" s="139" customFormat="1" ht="15" x14ac:dyDescent="0.2">
      <c r="A8" s="657" t="s">
        <v>314</v>
      </c>
      <c r="B8" s="654" t="s">
        <v>315</v>
      </c>
      <c r="C8" s="807"/>
      <c r="D8" s="807"/>
      <c r="E8" s="658">
        <f>[30]Souhrn!$E$25</f>
        <v>0</v>
      </c>
      <c r="F8" s="807">
        <f>[30]Souhrn!$F$25</f>
        <v>24407</v>
      </c>
      <c r="G8" s="807">
        <f>[30]Souhrn!$G$25</f>
        <v>549978</v>
      </c>
      <c r="H8" s="659">
        <f t="shared" si="0"/>
        <v>574385</v>
      </c>
      <c r="I8" s="1010"/>
      <c r="J8" s="660">
        <f>SUM(E8:G8)</f>
        <v>574385</v>
      </c>
    </row>
    <row r="9" spans="1:10" s="139" customFormat="1" ht="15" x14ac:dyDescent="0.2">
      <c r="A9" s="657" t="s">
        <v>316</v>
      </c>
      <c r="B9" s="654" t="s">
        <v>317</v>
      </c>
      <c r="C9" s="807"/>
      <c r="D9" s="807"/>
      <c r="E9" s="658"/>
      <c r="F9" s="807"/>
      <c r="G9" s="807">
        <f>[31]Souhrn!$G$13</f>
        <v>24471</v>
      </c>
      <c r="H9" s="659">
        <f t="shared" si="0"/>
        <v>24471</v>
      </c>
      <c r="I9" s="1011">
        <f>SUM(G9)</f>
        <v>24471</v>
      </c>
      <c r="J9" s="1012"/>
    </row>
    <row r="10" spans="1:10" s="139" customFormat="1" ht="15" x14ac:dyDescent="0.2">
      <c r="A10" s="657" t="s">
        <v>318</v>
      </c>
      <c r="B10" s="654" t="s">
        <v>319</v>
      </c>
      <c r="C10" s="807"/>
      <c r="D10" s="807">
        <f>[32]Souhrn!$D$19</f>
        <v>31210</v>
      </c>
      <c r="E10" s="658"/>
      <c r="F10" s="807"/>
      <c r="G10" s="807">
        <f>[32]Souhrn!$G$19</f>
        <v>31515</v>
      </c>
      <c r="H10" s="659">
        <f t="shared" si="0"/>
        <v>62725</v>
      </c>
      <c r="I10" s="1008">
        <f>SUM(D10,G10)</f>
        <v>62725</v>
      </c>
      <c r="J10" s="1009"/>
    </row>
    <row r="11" spans="1:10" s="139" customFormat="1" ht="15" x14ac:dyDescent="0.2">
      <c r="A11" s="657" t="s">
        <v>320</v>
      </c>
      <c r="B11" s="654" t="s">
        <v>321</v>
      </c>
      <c r="C11" s="807"/>
      <c r="D11" s="807">
        <f>[33]Souhrn!$C$19</f>
        <v>488136</v>
      </c>
      <c r="E11" s="658"/>
      <c r="F11" s="807">
        <f>[33]Souhrn!$F$19</f>
        <v>1000</v>
      </c>
      <c r="G11" s="807">
        <f>[33]Souhrn!$G$19</f>
        <v>513889</v>
      </c>
      <c r="H11" s="659">
        <f>SUM(C11:G11)</f>
        <v>1003025</v>
      </c>
      <c r="I11" s="1008">
        <f>12684+49</f>
        <v>12733</v>
      </c>
      <c r="J11" s="660">
        <f>SUM(D11,F11:G11)-12684-49</f>
        <v>990292</v>
      </c>
    </row>
    <row r="12" spans="1:10" s="139" customFormat="1" ht="24" customHeight="1" thickBot="1" x14ac:dyDescent="0.25">
      <c r="A12" s="657" t="s">
        <v>516</v>
      </c>
      <c r="B12" s="654" t="s">
        <v>517</v>
      </c>
      <c r="C12" s="807"/>
      <c r="D12" s="807">
        <f>'[34]Rekapitulace - Energetika'!$D$38</f>
        <v>16380</v>
      </c>
      <c r="E12" s="658"/>
      <c r="F12" s="807"/>
      <c r="G12" s="807">
        <f>'[34]Rekapitulace - Energetika'!$E$38</f>
        <v>180735</v>
      </c>
      <c r="H12" s="659">
        <f t="shared" si="0"/>
        <v>197115</v>
      </c>
      <c r="I12" s="1008">
        <v>72894</v>
      </c>
      <c r="J12" s="660">
        <f>SUM(C12,H12)-I12</f>
        <v>124221</v>
      </c>
    </row>
    <row r="13" spans="1:10" ht="16.5" thickBot="1" x14ac:dyDescent="0.3">
      <c r="A13" s="1145" t="s">
        <v>210</v>
      </c>
      <c r="B13" s="1146"/>
      <c r="C13" s="808">
        <f t="shared" ref="C13:F13" si="1">SUM(C5:C12)</f>
        <v>0</v>
      </c>
      <c r="D13" s="808">
        <f t="shared" si="1"/>
        <v>535726</v>
      </c>
      <c r="E13" s="766">
        <f t="shared" si="1"/>
        <v>0</v>
      </c>
      <c r="F13" s="808">
        <f t="shared" si="1"/>
        <v>29407</v>
      </c>
      <c r="G13" s="808">
        <f>SUM(G5:G12)</f>
        <v>1658101</v>
      </c>
      <c r="H13" s="864">
        <f>SUM(H5:H12)</f>
        <v>2223234</v>
      </c>
      <c r="I13" s="998">
        <f>SUM(I5:I12)</f>
        <v>251536</v>
      </c>
      <c r="J13" s="999">
        <f>SUM(J5:J12)</f>
        <v>1971698</v>
      </c>
    </row>
    <row r="14" spans="1:10" ht="15.75" x14ac:dyDescent="0.25">
      <c r="E14" s="652" t="s">
        <v>518</v>
      </c>
      <c r="G14" s="1000">
        <f>SUM(C13,D13,F13,G13,E13)</f>
        <v>2223234</v>
      </c>
      <c r="I14" s="1139">
        <f>SUM(I13:J13)</f>
        <v>2223234</v>
      </c>
      <c r="J14" s="1140"/>
    </row>
    <row r="15" spans="1:10" x14ac:dyDescent="0.2">
      <c r="E15" s="661"/>
      <c r="F15" s="662"/>
      <c r="G15" s="663"/>
    </row>
    <row r="16" spans="1:10" x14ac:dyDescent="0.2">
      <c r="E16" s="1141" t="s">
        <v>322</v>
      </c>
      <c r="F16" s="1141"/>
      <c r="G16" s="660">
        <f>SUM(I13)</f>
        <v>251536</v>
      </c>
    </row>
    <row r="17" spans="5:7" x14ac:dyDescent="0.2">
      <c r="E17" s="1141" t="s">
        <v>323</v>
      </c>
      <c r="F17" s="1141"/>
      <c r="G17" s="660">
        <f>J13</f>
        <v>1971698</v>
      </c>
    </row>
    <row r="18" spans="5:7" x14ac:dyDescent="0.2">
      <c r="E18" s="1142" t="s">
        <v>324</v>
      </c>
      <c r="F18" s="1142"/>
      <c r="G18" s="660">
        <f>SUM(G16:G17)</f>
        <v>2223234</v>
      </c>
    </row>
    <row r="19" spans="5:7" x14ac:dyDescent="0.2">
      <c r="E19" s="1001"/>
      <c r="F19" s="1002"/>
    </row>
    <row r="20" spans="5:7" x14ac:dyDescent="0.2">
      <c r="F20" s="1002"/>
    </row>
    <row r="21" spans="5:7" x14ac:dyDescent="0.2">
      <c r="F21" s="1002"/>
    </row>
    <row r="26" spans="5:7" x14ac:dyDescent="0.2">
      <c r="F26" s="663"/>
    </row>
    <row r="27" spans="5:7" x14ac:dyDescent="0.2">
      <c r="F27" s="663"/>
    </row>
    <row r="28" spans="5:7" x14ac:dyDescent="0.2">
      <c r="F28" s="663"/>
    </row>
    <row r="29" spans="5:7" x14ac:dyDescent="0.2">
      <c r="F29" s="663"/>
    </row>
    <row r="30" spans="5:7" x14ac:dyDescent="0.2">
      <c r="F30" s="663"/>
    </row>
    <row r="31" spans="5:7" x14ac:dyDescent="0.2">
      <c r="F31" s="663"/>
    </row>
    <row r="32" spans="5:7" x14ac:dyDescent="0.2">
      <c r="F32" s="663"/>
    </row>
    <row r="33" spans="6:6" x14ac:dyDescent="0.2">
      <c r="F33" s="663"/>
    </row>
    <row r="34" spans="6:6" x14ac:dyDescent="0.2">
      <c r="F34" s="663"/>
    </row>
    <row r="35" spans="6:6" x14ac:dyDescent="0.2">
      <c r="F35" s="663"/>
    </row>
    <row r="36" spans="6:6" x14ac:dyDescent="0.2">
      <c r="F36" s="663"/>
    </row>
  </sheetData>
  <mergeCells count="6">
    <mergeCell ref="I14:J14"/>
    <mergeCell ref="E17:F17"/>
    <mergeCell ref="E18:F18"/>
    <mergeCell ref="E16:F16"/>
    <mergeCell ref="A4:B4"/>
    <mergeCell ref="A13:B13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4" firstPageNumber="19" orientation="landscape" useFirstPageNumber="1" r:id="rId1"/>
  <headerFooter>
    <oddFooter>&amp;L&amp;"-,Kurzíva"Zastupitelstvo Olomouckého kraje 11.12.2023
2.1. - Rozpočet Olomouckého kraje na rok 2024 - návrh rozpočtu
Příloha č. 1: Návrh rozpočtu OK na rok 2024 (bilance) - zkrácená verze&amp;R&amp;"-,Kurzíva"Strana &amp;P (Celkem 216)</oddFooter>
  </headerFooter>
  <rowBreaks count="1" manualBreakCount="1">
    <brk id="42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L79"/>
  <sheetViews>
    <sheetView view="pageBreakPreview" zoomScaleNormal="100" zoomScaleSheetLayoutView="100" workbookViewId="0">
      <selection activeCell="L28" sqref="L28"/>
    </sheetView>
  </sheetViews>
  <sheetFormatPr defaultColWidth="9.140625" defaultRowHeight="15" x14ac:dyDescent="0.25"/>
  <cols>
    <col min="1" max="1" width="5.28515625" style="113" customWidth="1"/>
    <col min="2" max="2" width="56.28515625" style="65" customWidth="1"/>
    <col min="3" max="4" width="18.140625" style="65" hidden="1" customWidth="1"/>
    <col min="5" max="5" width="22.7109375" style="65" customWidth="1"/>
    <col min="6" max="6" width="22.7109375" style="65" hidden="1" customWidth="1"/>
    <col min="7" max="7" width="22" style="65" hidden="1" customWidth="1"/>
    <col min="8" max="8" width="22.7109375" style="65" customWidth="1"/>
    <col min="9" max="9" width="15.42578125" style="65" customWidth="1"/>
    <col min="10" max="10" width="17.140625" style="65" customWidth="1"/>
    <col min="11" max="11" width="11.7109375" style="64" bestFit="1" customWidth="1"/>
    <col min="12" max="16384" width="9.140625" style="65"/>
  </cols>
  <sheetData>
    <row r="1" spans="1:11" ht="16.5" x14ac:dyDescent="0.25">
      <c r="A1" s="48" t="s">
        <v>414</v>
      </c>
      <c r="B1" s="120"/>
      <c r="C1" s="120"/>
      <c r="D1" s="120"/>
      <c r="E1" s="67"/>
      <c r="F1" s="31"/>
      <c r="G1" s="31"/>
      <c r="I1" s="31"/>
      <c r="J1" s="31"/>
    </row>
    <row r="2" spans="1:11" ht="16.5" thickBot="1" x14ac:dyDescent="0.3">
      <c r="A2" s="26" t="s">
        <v>38</v>
      </c>
      <c r="B2" s="31"/>
      <c r="C2" s="31"/>
      <c r="D2" s="31"/>
      <c r="F2" s="31"/>
      <c r="G2" s="31"/>
      <c r="I2" s="111" t="s">
        <v>0</v>
      </c>
      <c r="J2" s="31"/>
    </row>
    <row r="3" spans="1:11" ht="41.25" customHeight="1" thickTop="1" thickBot="1" x14ac:dyDescent="0.3">
      <c r="A3" s="22" t="s">
        <v>1</v>
      </c>
      <c r="B3" s="18" t="s">
        <v>36</v>
      </c>
      <c r="C3" s="112" t="s">
        <v>74</v>
      </c>
      <c r="D3" s="112" t="s">
        <v>75</v>
      </c>
      <c r="E3" s="481" t="s">
        <v>415</v>
      </c>
      <c r="F3" s="482" t="s">
        <v>95</v>
      </c>
      <c r="G3" s="481" t="s">
        <v>254</v>
      </c>
      <c r="H3" s="483" t="s">
        <v>416</v>
      </c>
      <c r="I3" s="484" t="s">
        <v>2</v>
      </c>
      <c r="J3" s="31"/>
    </row>
    <row r="4" spans="1:11" s="467" customFormat="1" ht="12.75" thickTop="1" thickBot="1" x14ac:dyDescent="0.25">
      <c r="A4" s="13">
        <v>1</v>
      </c>
      <c r="B4" s="14">
        <v>2</v>
      </c>
      <c r="C4" s="15">
        <v>3</v>
      </c>
      <c r="D4" s="15">
        <v>4</v>
      </c>
      <c r="E4" s="15">
        <v>3</v>
      </c>
      <c r="F4" s="19">
        <v>4</v>
      </c>
      <c r="G4" s="19">
        <v>4</v>
      </c>
      <c r="H4" s="489">
        <v>5</v>
      </c>
      <c r="I4" s="16" t="s">
        <v>122</v>
      </c>
      <c r="J4" s="1"/>
      <c r="K4" s="468"/>
    </row>
    <row r="5" spans="1:11" ht="17.100000000000001" customHeight="1" thickTop="1" x14ac:dyDescent="0.25">
      <c r="A5" s="2">
        <v>1</v>
      </c>
      <c r="B5" s="84" t="s">
        <v>3</v>
      </c>
      <c r="C5" s="85">
        <f>790223+32010+94954+882612+1728918</f>
        <v>3528717</v>
      </c>
      <c r="D5" s="85">
        <f>897745+24607+96841+1000783+2056630</f>
        <v>4076606</v>
      </c>
      <c r="E5" s="490">
        <f>SUM([1]Příjmy!$D$12)</f>
        <v>6500000</v>
      </c>
      <c r="F5" s="776">
        <v>4962504</v>
      </c>
      <c r="G5" s="760">
        <v>4684504</v>
      </c>
      <c r="H5" s="760">
        <f>SUM([2]Příjmy!$F$12)</f>
        <v>7100000</v>
      </c>
      <c r="I5" s="118">
        <f t="shared" ref="I5:I21" si="0">H5/E5*100</f>
        <v>109.23076923076923</v>
      </c>
      <c r="J5" s="879"/>
    </row>
    <row r="6" spans="1:11" ht="17.100000000000001" customHeight="1" x14ac:dyDescent="0.25">
      <c r="A6" s="3">
        <v>2</v>
      </c>
      <c r="B6" s="4" t="s">
        <v>4</v>
      </c>
      <c r="C6" s="86">
        <v>1343</v>
      </c>
      <c r="D6" s="86">
        <f>149+57+3+291+214+902+127+1</f>
        <v>1744</v>
      </c>
      <c r="E6" s="89">
        <f>SUM([1]Příjmy!$D$13)</f>
        <v>1190</v>
      </c>
      <c r="F6" s="777">
        <f>SUM([3]Příjmy!$F$13)</f>
        <v>1185</v>
      </c>
      <c r="G6" s="89">
        <v>1185</v>
      </c>
      <c r="H6" s="89">
        <f>SUM([2]Příjmy!$F$13)</f>
        <v>1330</v>
      </c>
      <c r="I6" s="118">
        <f t="shared" si="0"/>
        <v>111.76470588235294</v>
      </c>
      <c r="J6" s="880"/>
    </row>
    <row r="7" spans="1:11" ht="26.25" customHeight="1" x14ac:dyDescent="0.25">
      <c r="A7" s="2">
        <v>3</v>
      </c>
      <c r="B7" s="136" t="s">
        <v>346</v>
      </c>
      <c r="C7" s="86">
        <f>907+304</f>
        <v>1211</v>
      </c>
      <c r="D7" s="86">
        <f>1210+7+374</f>
        <v>1591</v>
      </c>
      <c r="E7" s="89">
        <f>SUM([1]Příjmy!$D$14:$D$15)</f>
        <v>1630</v>
      </c>
      <c r="F7" s="777">
        <f>SUM([3]Příjmy!$F$14:$F$15)</f>
        <v>1580</v>
      </c>
      <c r="G7" s="89">
        <v>1701</v>
      </c>
      <c r="H7" s="89">
        <f>SUM([2]Příjmy!$F$14:$F$15)</f>
        <v>365</v>
      </c>
      <c r="I7" s="118">
        <f t="shared" si="0"/>
        <v>22.392638036809817</v>
      </c>
      <c r="J7" s="31"/>
    </row>
    <row r="8" spans="1:11" ht="17.100000000000001" customHeight="1" x14ac:dyDescent="0.25">
      <c r="A8" s="3">
        <v>4</v>
      </c>
      <c r="B8" s="5" t="s">
        <v>10</v>
      </c>
      <c r="C8" s="87">
        <v>161961</v>
      </c>
      <c r="D8" s="87">
        <v>168785</v>
      </c>
      <c r="E8" s="88">
        <f>SUM([1]Příjmy!$D$16)</f>
        <v>254083</v>
      </c>
      <c r="F8" s="487">
        <f>SUM([3]Příjmy!$F$16)</f>
        <v>267458</v>
      </c>
      <c r="G8" s="89">
        <v>284283</v>
      </c>
      <c r="H8" s="88">
        <f>SUM([2]Příjmy!$F$16)</f>
        <v>246000</v>
      </c>
      <c r="I8" s="118">
        <f t="shared" si="0"/>
        <v>96.818756075770523</v>
      </c>
      <c r="J8" s="31"/>
    </row>
    <row r="9" spans="1:11" ht="17.100000000000001" customHeight="1" x14ac:dyDescent="0.25">
      <c r="A9" s="2">
        <v>5</v>
      </c>
      <c r="B9" s="4" t="s">
        <v>5</v>
      </c>
      <c r="C9" s="86">
        <f>432+37900+157</f>
        <v>38489</v>
      </c>
      <c r="D9" s="86">
        <f>247+30793+131</f>
        <v>31171</v>
      </c>
      <c r="E9" s="89">
        <f>SUM([1]Příjmy!$D$17,[1]Příjmy!$D$18,[1]Příjmy!$D$19,[1]Příjmy!$D$20)</f>
        <v>38089.300000000003</v>
      </c>
      <c r="F9" s="127">
        <f>SUM([3]Příjmy!$F$17:$F$20)</f>
        <v>33258.299999999996</v>
      </c>
      <c r="G9" s="89">
        <v>33452.199999999997</v>
      </c>
      <c r="H9" s="761">
        <f>SUM([2]Příjmy!$F$17:$F$20)</f>
        <v>38219.300000000003</v>
      </c>
      <c r="I9" s="118">
        <f t="shared" si="0"/>
        <v>100.34130320063639</v>
      </c>
      <c r="J9" s="31"/>
    </row>
    <row r="10" spans="1:11" ht="17.100000000000001" customHeight="1" x14ac:dyDescent="0.25">
      <c r="A10" s="3">
        <v>6</v>
      </c>
      <c r="B10" s="4" t="s">
        <v>6</v>
      </c>
      <c r="C10" s="86">
        <f t="shared" ref="C10" si="1">512+3443</f>
        <v>3955</v>
      </c>
      <c r="D10" s="86">
        <f>646+3181</f>
        <v>3827</v>
      </c>
      <c r="E10" s="89">
        <f>SUM([1]Příjmy!$D$21:$D$22)</f>
        <v>3610.2999999999997</v>
      </c>
      <c r="F10" s="127">
        <f>SUM([3]Příjmy!$F$21:$F$22)</f>
        <v>2920</v>
      </c>
      <c r="G10" s="89">
        <v>2974</v>
      </c>
      <c r="H10" s="761">
        <f>SUM([2]Příjmy!$F$21:$F$22)</f>
        <v>3810.2999999999997</v>
      </c>
      <c r="I10" s="118">
        <f t="shared" si="0"/>
        <v>105.53970584161981</v>
      </c>
      <c r="J10" s="31"/>
    </row>
    <row r="11" spans="1:11" ht="17.100000000000001" customHeight="1" x14ac:dyDescent="0.25">
      <c r="A11" s="2">
        <v>7</v>
      </c>
      <c r="B11" s="45" t="s">
        <v>87</v>
      </c>
      <c r="C11" s="86">
        <f>41073</f>
        <v>41073</v>
      </c>
      <c r="D11" s="86">
        <v>40469</v>
      </c>
      <c r="E11" s="89">
        <f>SUM([1]Příjmy!$D$24:$D$25)</f>
        <v>811.30000000000007</v>
      </c>
      <c r="F11" s="89">
        <f>SUM([3]Příjmy!$F$23,[3]Příjmy!$F$25:$F$29)</f>
        <v>166876</v>
      </c>
      <c r="G11" s="89">
        <v>167328</v>
      </c>
      <c r="H11" s="777">
        <f>SUM([2]Příjmy!$F$24:$F$25)</f>
        <v>820.30000000000007</v>
      </c>
      <c r="I11" s="119">
        <f t="shared" si="0"/>
        <v>101.10933070380869</v>
      </c>
      <c r="J11" s="31"/>
    </row>
    <row r="12" spans="1:11" s="67" customFormat="1" ht="17.100000000000001" customHeight="1" x14ac:dyDescent="0.25">
      <c r="A12" s="3">
        <v>8</v>
      </c>
      <c r="B12" s="90" t="s">
        <v>13</v>
      </c>
      <c r="C12" s="86">
        <v>12615</v>
      </c>
      <c r="D12" s="86">
        <v>2818</v>
      </c>
      <c r="E12" s="89">
        <f>SUM([1]Příjmy!$D$30)</f>
        <v>1293</v>
      </c>
      <c r="F12" s="89">
        <f>SUM([3]Příjmy!$F$30:$F$31)</f>
        <v>300</v>
      </c>
      <c r="G12" s="89">
        <v>150</v>
      </c>
      <c r="H12" s="89">
        <f>SUM([1]Příjmy!$F$30)</f>
        <v>0</v>
      </c>
      <c r="I12" s="118"/>
      <c r="J12" s="120"/>
      <c r="K12" s="66"/>
    </row>
    <row r="13" spans="1:11" ht="17.100000000000001" customHeight="1" x14ac:dyDescent="0.25">
      <c r="A13" s="2">
        <v>9</v>
      </c>
      <c r="B13" s="84" t="s">
        <v>7</v>
      </c>
      <c r="C13" s="85">
        <f>238+14957+75</f>
        <v>15270</v>
      </c>
      <c r="D13" s="85">
        <f>9347+61787+2+28150</f>
        <v>99286</v>
      </c>
      <c r="E13" s="490">
        <f>SUM([1]Příjmy!$D$23,[1]Příjmy!$D$26,[1]Příjmy!$D$27,[1]Příjmy!$D$28)</f>
        <v>10030</v>
      </c>
      <c r="F13" s="89">
        <f>SUM([3]Příjmy!$F$32:$F$34,[3]Příjmy!$F$24)</f>
        <v>8360</v>
      </c>
      <c r="G13" s="89">
        <v>8360</v>
      </c>
      <c r="H13" s="89">
        <f>SUM([2]Příjmy!$F$23,[2]Příjmy!$F$26:$F$28)</f>
        <v>7340</v>
      </c>
      <c r="I13" s="118">
        <f t="shared" si="0"/>
        <v>73.180458624127624</v>
      </c>
      <c r="J13" s="31"/>
    </row>
    <row r="14" spans="1:11" ht="17.100000000000001" customHeight="1" x14ac:dyDescent="0.25">
      <c r="A14" s="3">
        <v>10</v>
      </c>
      <c r="B14" s="4" t="s">
        <v>8</v>
      </c>
      <c r="C14" s="86">
        <v>636</v>
      </c>
      <c r="D14" s="86">
        <v>659</v>
      </c>
      <c r="E14" s="89">
        <f>SUM([1]Příjmy!$D$29)</f>
        <v>29697.5</v>
      </c>
      <c r="F14" s="89">
        <f>SUM([3]Příjmy!$F$35)</f>
        <v>500.3</v>
      </c>
      <c r="G14" s="89">
        <v>500</v>
      </c>
      <c r="H14" s="127">
        <f>SUM([2]Příjmy!$F$29)</f>
        <v>30164.1</v>
      </c>
      <c r="I14" s="118">
        <f t="shared" si="0"/>
        <v>101.57117602491792</v>
      </c>
      <c r="J14" s="31"/>
    </row>
    <row r="15" spans="1:11" ht="17.100000000000001" customHeight="1" x14ac:dyDescent="0.25">
      <c r="A15" s="2">
        <v>11</v>
      </c>
      <c r="B15" s="5" t="s">
        <v>9</v>
      </c>
      <c r="C15" s="87">
        <v>73854</v>
      </c>
      <c r="D15" s="87">
        <v>76028</v>
      </c>
      <c r="E15" s="88">
        <f>SUM([1]Příjmy!$D$31)</f>
        <v>140403.6</v>
      </c>
      <c r="F15" s="127">
        <f>SUM([3]Příjmy!$F$36)</f>
        <v>122749.4</v>
      </c>
      <c r="G15" s="89">
        <v>122749</v>
      </c>
      <c r="H15" s="127">
        <f>SUM([2]Příjmy!$F$31)</f>
        <v>141578</v>
      </c>
      <c r="I15" s="118">
        <f t="shared" si="0"/>
        <v>100.8364457891393</v>
      </c>
      <c r="J15" s="31"/>
    </row>
    <row r="16" spans="1:11" ht="17.100000000000001" customHeight="1" x14ac:dyDescent="0.25">
      <c r="A16" s="2">
        <v>14</v>
      </c>
      <c r="B16" s="5" t="s">
        <v>350</v>
      </c>
      <c r="C16" s="87"/>
      <c r="D16" s="87"/>
      <c r="E16" s="88">
        <f>SUM([1]Příjmy!$D$32:$D$33)</f>
        <v>200000</v>
      </c>
      <c r="F16" s="127"/>
      <c r="G16" s="89"/>
      <c r="H16" s="127">
        <f>SUM([2]Příjmy!$F$32:$F$33)</f>
        <v>255000</v>
      </c>
      <c r="I16" s="118"/>
      <c r="J16" s="31"/>
    </row>
    <row r="17" spans="1:12" ht="17.100000000000001" customHeight="1" x14ac:dyDescent="0.25">
      <c r="A17" s="3">
        <v>15</v>
      </c>
      <c r="B17" s="5" t="s">
        <v>11</v>
      </c>
      <c r="C17" s="87">
        <v>7280</v>
      </c>
      <c r="D17" s="87">
        <v>7780</v>
      </c>
      <c r="E17" s="88">
        <f>SUM([1]Příjmy!$D$43)</f>
        <v>11790</v>
      </c>
      <c r="F17" s="89">
        <f>SUM([3]Příjmy!$F$47)</f>
        <v>12818</v>
      </c>
      <c r="G17" s="89">
        <v>11282</v>
      </c>
      <c r="H17" s="89">
        <f>SUM([2]Příjmy!$F$43)</f>
        <v>13417</v>
      </c>
      <c r="I17" s="118">
        <f t="shared" si="0"/>
        <v>113.79983036471586</v>
      </c>
      <c r="J17" s="31"/>
    </row>
    <row r="18" spans="1:12" s="75" customFormat="1" ht="27.75" customHeight="1" x14ac:dyDescent="0.2">
      <c r="A18" s="2">
        <v>16</v>
      </c>
      <c r="B18" s="5" t="s">
        <v>12</v>
      </c>
      <c r="C18" s="87">
        <v>63636</v>
      </c>
      <c r="D18" s="87">
        <v>65018</v>
      </c>
      <c r="E18" s="88">
        <f>SUM([1]Příjmy!$D$61)</f>
        <v>34000</v>
      </c>
      <c r="F18" s="487">
        <f>SUM([3]Příjmy!$F$65)</f>
        <v>34300</v>
      </c>
      <c r="G18" s="88">
        <v>34300</v>
      </c>
      <c r="H18" s="487">
        <f>SUM([2]Příjmy!$F$61)</f>
        <v>34300</v>
      </c>
      <c r="I18" s="122">
        <f t="shared" si="0"/>
        <v>100.88235294117646</v>
      </c>
      <c r="J18" s="70"/>
      <c r="K18" s="76"/>
    </row>
    <row r="19" spans="1:12" s="77" customFormat="1" ht="24.95" customHeight="1" x14ac:dyDescent="0.25">
      <c r="A19" s="6">
        <v>17</v>
      </c>
      <c r="B19" s="91" t="s">
        <v>14</v>
      </c>
      <c r="C19" s="92">
        <f t="shared" ref="C19:H19" si="2">SUM(C5:C18)</f>
        <v>3950040</v>
      </c>
      <c r="D19" s="92">
        <f t="shared" si="2"/>
        <v>4575782</v>
      </c>
      <c r="E19" s="491">
        <f t="shared" si="2"/>
        <v>7226627.9999999991</v>
      </c>
      <c r="F19" s="491">
        <f t="shared" si="2"/>
        <v>5614809</v>
      </c>
      <c r="G19" s="491">
        <f t="shared" si="2"/>
        <v>5352768.2</v>
      </c>
      <c r="H19" s="778">
        <f t="shared" si="2"/>
        <v>7872343.9999999991</v>
      </c>
      <c r="I19" s="124">
        <f t="shared" si="0"/>
        <v>108.93523231028357</v>
      </c>
      <c r="J19" s="881"/>
      <c r="K19" s="129"/>
    </row>
    <row r="20" spans="1:12" s="68" customFormat="1" ht="17.100000000000001" customHeight="1" x14ac:dyDescent="0.2">
      <c r="A20" s="6">
        <v>18</v>
      </c>
      <c r="B20" s="93" t="s">
        <v>15</v>
      </c>
      <c r="C20" s="94">
        <v>-6424</v>
      </c>
      <c r="D20" s="94">
        <v>-7171</v>
      </c>
      <c r="E20" s="492">
        <v>-11679</v>
      </c>
      <c r="F20" s="779">
        <v>-12814</v>
      </c>
      <c r="G20" s="492">
        <v>-11278</v>
      </c>
      <c r="H20" s="780">
        <v>-13236</v>
      </c>
      <c r="I20" s="125">
        <f t="shared" si="0"/>
        <v>113.33162085795017</v>
      </c>
      <c r="J20" s="95"/>
      <c r="K20" s="17"/>
    </row>
    <row r="21" spans="1:12" ht="24.75" customHeight="1" thickBot="1" x14ac:dyDescent="0.3">
      <c r="A21" s="96">
        <v>19</v>
      </c>
      <c r="B21" s="97" t="s">
        <v>19</v>
      </c>
      <c r="C21" s="98">
        <f t="shared" ref="C21:D21" si="3">SUM(C19:C20)</f>
        <v>3943616</v>
      </c>
      <c r="D21" s="98">
        <f t="shared" si="3"/>
        <v>4568611</v>
      </c>
      <c r="E21" s="493">
        <f>SUM(E19:E20)</f>
        <v>7214948.9999999991</v>
      </c>
      <c r="F21" s="493">
        <f t="shared" ref="F21" si="4">SUM(F19:F20)</f>
        <v>5601995</v>
      </c>
      <c r="G21" s="493">
        <f>SUM(G19:G20)</f>
        <v>5341490.2</v>
      </c>
      <c r="H21" s="781">
        <f>SUM(H19:H20)</f>
        <v>7859107.9999999991</v>
      </c>
      <c r="I21" s="126">
        <f t="shared" si="0"/>
        <v>108.92811577739496</v>
      </c>
      <c r="J21" s="72"/>
    </row>
    <row r="22" spans="1:12" ht="15.75" thickTop="1" x14ac:dyDescent="0.25">
      <c r="E22" s="480"/>
      <c r="F22" s="480"/>
      <c r="G22" s="480"/>
      <c r="H22" s="480"/>
      <c r="I22" s="31"/>
      <c r="J22" s="31"/>
    </row>
    <row r="23" spans="1:12" ht="16.5" thickBot="1" x14ac:dyDescent="0.3">
      <c r="A23" s="25" t="s">
        <v>37</v>
      </c>
      <c r="B23" s="110"/>
      <c r="C23" s="31"/>
      <c r="D23" s="31"/>
      <c r="E23" s="451"/>
      <c r="F23" s="480"/>
      <c r="G23" s="480"/>
      <c r="H23" s="451"/>
      <c r="I23" s="111" t="s">
        <v>0</v>
      </c>
      <c r="J23" s="31"/>
      <c r="K23" s="72"/>
    </row>
    <row r="24" spans="1:12" s="469" customFormat="1" ht="38.25" customHeight="1" thickTop="1" thickBot="1" x14ac:dyDescent="0.25">
      <c r="A24" s="23" t="s">
        <v>1</v>
      </c>
      <c r="B24" s="12" t="s">
        <v>16</v>
      </c>
      <c r="C24" s="112" t="s">
        <v>74</v>
      </c>
      <c r="D24" s="112" t="s">
        <v>75</v>
      </c>
      <c r="E24" s="481" t="s">
        <v>415</v>
      </c>
      <c r="F24" s="482" t="s">
        <v>95</v>
      </c>
      <c r="G24" s="481" t="s">
        <v>254</v>
      </c>
      <c r="H24" s="483" t="s">
        <v>416</v>
      </c>
      <c r="I24" s="484" t="s">
        <v>2</v>
      </c>
      <c r="J24" s="39"/>
      <c r="K24" s="21"/>
    </row>
    <row r="25" spans="1:12" s="467" customFormat="1" ht="12.75" thickTop="1" thickBot="1" x14ac:dyDescent="0.25">
      <c r="A25" s="13">
        <v>1</v>
      </c>
      <c r="B25" s="14">
        <v>2</v>
      </c>
      <c r="C25" s="15">
        <v>3</v>
      </c>
      <c r="D25" s="15">
        <v>4</v>
      </c>
      <c r="E25" s="15">
        <v>3</v>
      </c>
      <c r="F25" s="19">
        <v>4</v>
      </c>
      <c r="G25" s="19">
        <v>4</v>
      </c>
      <c r="H25" s="489">
        <v>5</v>
      </c>
      <c r="I25" s="485" t="s">
        <v>122</v>
      </c>
      <c r="J25" s="40"/>
      <c r="K25" s="20"/>
    </row>
    <row r="26" spans="1:12" ht="17.100000000000001" customHeight="1" thickTop="1" x14ac:dyDescent="0.25">
      <c r="A26" s="2">
        <v>1</v>
      </c>
      <c r="B26" s="74" t="s">
        <v>76</v>
      </c>
      <c r="C26" s="28">
        <f>SUM([4]celkem!$D$24)</f>
        <v>529104</v>
      </c>
      <c r="D26" s="28">
        <f>SUM([4]celkem!$E$24)</f>
        <v>561055</v>
      </c>
      <c r="E26" s="474">
        <f>SUM(E27:E28)</f>
        <v>1223710</v>
      </c>
      <c r="F26" s="773">
        <f>SUM([5]celkem!$H$23)</f>
        <v>884329</v>
      </c>
      <c r="G26" s="474">
        <v>970350</v>
      </c>
      <c r="H26" s="774">
        <f>SUM(H27:H28)</f>
        <v>1223558</v>
      </c>
      <c r="I26" s="118">
        <f t="shared" ref="I26:I45" si="5">H26/E26*100</f>
        <v>99.987578756404702</v>
      </c>
      <c r="J26" s="63"/>
    </row>
    <row r="27" spans="1:12" ht="17.100000000000001" customHeight="1" x14ac:dyDescent="0.25">
      <c r="A27" s="2"/>
      <c r="B27" s="475" t="s">
        <v>215</v>
      </c>
      <c r="C27" s="476"/>
      <c r="D27" s="476"/>
      <c r="E27" s="452">
        <f>SUM([6]celkem!$F$62)</f>
        <v>811274</v>
      </c>
      <c r="F27" s="452"/>
      <c r="G27" s="452">
        <v>571119</v>
      </c>
      <c r="H27" s="764">
        <f>SUM([7]celkem!$H$62)</f>
        <v>775798</v>
      </c>
      <c r="I27" s="478">
        <f t="shared" si="5"/>
        <v>95.62712474453761</v>
      </c>
      <c r="J27" s="63"/>
    </row>
    <row r="28" spans="1:12" ht="36" customHeight="1" x14ac:dyDescent="0.25">
      <c r="A28" s="2"/>
      <c r="B28" s="477" t="s">
        <v>347</v>
      </c>
      <c r="C28" s="476"/>
      <c r="D28" s="476"/>
      <c r="E28" s="452">
        <f>SUM([6]celkem!$F$63)</f>
        <v>412436</v>
      </c>
      <c r="F28" s="452"/>
      <c r="G28" s="452">
        <v>399231</v>
      </c>
      <c r="H28" s="764">
        <f>SUM([7]celkem!$H$63)</f>
        <v>447760</v>
      </c>
      <c r="I28" s="478">
        <f t="shared" si="5"/>
        <v>108.56472276910843</v>
      </c>
      <c r="J28" s="63"/>
    </row>
    <row r="29" spans="1:12" s="41" customFormat="1" ht="17.100000000000001" customHeight="1" x14ac:dyDescent="0.25">
      <c r="A29" s="61">
        <v>2</v>
      </c>
      <c r="B29" s="62" t="s">
        <v>50</v>
      </c>
      <c r="C29" s="30">
        <v>276809</v>
      </c>
      <c r="D29" s="30">
        <f>SUM([8]rekapitulace!$E$108)</f>
        <v>0</v>
      </c>
      <c r="E29" s="775">
        <f>SUM([9]rekapitulace!$E$115)</f>
        <v>456503</v>
      </c>
      <c r="F29" s="773">
        <f>SUM([10]rekapitulace!$G$139)</f>
        <v>778658</v>
      </c>
      <c r="G29" s="773">
        <v>473441</v>
      </c>
      <c r="H29" s="774">
        <f>SUM([11]rekapitulace!$G$120)</f>
        <v>553544</v>
      </c>
      <c r="I29" s="118">
        <f t="shared" si="5"/>
        <v>121.2574725686359</v>
      </c>
      <c r="J29" s="479"/>
      <c r="K29" s="83"/>
    </row>
    <row r="30" spans="1:12" s="31" customFormat="1" ht="17.100000000000001" customHeight="1" x14ac:dyDescent="0.25">
      <c r="A30" s="44">
        <v>3</v>
      </c>
      <c r="B30" s="45" t="s">
        <v>59</v>
      </c>
      <c r="C30" s="8">
        <f>SUM(C31,C42)</f>
        <v>2297356</v>
      </c>
      <c r="D30" s="8">
        <f>SUM(D31,D42)</f>
        <v>2401685</v>
      </c>
      <c r="E30" s="127">
        <f>SUM(E31,E41,E42)</f>
        <v>4535038</v>
      </c>
      <c r="F30" s="127">
        <f>SUM(F31,F41,F42)</f>
        <v>3486945</v>
      </c>
      <c r="G30" s="127">
        <f>SUM(G31,G41,G42)</f>
        <v>3622027</v>
      </c>
      <c r="H30" s="761">
        <f>SUM(H31,H41,H42)</f>
        <v>4429617</v>
      </c>
      <c r="I30" s="118">
        <f t="shared" si="5"/>
        <v>97.675410878585794</v>
      </c>
      <c r="J30" s="71"/>
      <c r="K30" s="72"/>
      <c r="L30" s="72"/>
    </row>
    <row r="31" spans="1:12" ht="17.100000000000001" customHeight="1" x14ac:dyDescent="0.25">
      <c r="A31" s="470"/>
      <c r="B31" s="45" t="s">
        <v>60</v>
      </c>
      <c r="C31" s="29">
        <f t="shared" ref="C31:H31" si="6">SUM(C32:C40)</f>
        <v>1412556</v>
      </c>
      <c r="D31" s="29">
        <f t="shared" si="6"/>
        <v>1483580</v>
      </c>
      <c r="E31" s="453">
        <f t="shared" si="6"/>
        <v>2708143</v>
      </c>
      <c r="F31" s="453">
        <f t="shared" si="6"/>
        <v>2024058</v>
      </c>
      <c r="G31" s="453">
        <f t="shared" si="6"/>
        <v>2102349</v>
      </c>
      <c r="H31" s="765">
        <f t="shared" si="6"/>
        <v>2401752</v>
      </c>
      <c r="I31" s="118">
        <f t="shared" si="5"/>
        <v>88.686306446890001</v>
      </c>
      <c r="J31" s="63"/>
      <c r="L31" s="64"/>
    </row>
    <row r="32" spans="1:12" ht="17.100000000000001" customHeight="1" x14ac:dyDescent="0.25">
      <c r="A32" s="470"/>
      <c r="B32" s="46" t="s">
        <v>39</v>
      </c>
      <c r="C32" s="24">
        <v>911473</v>
      </c>
      <c r="D32" s="24">
        <v>936931</v>
      </c>
      <c r="E32" s="454">
        <f>SUM('[12]Sumář celkem'!$H$80)</f>
        <v>559517</v>
      </c>
      <c r="F32" s="454">
        <f>SUM('[13]Sumář celkem'!$H$65)</f>
        <v>612867</v>
      </c>
      <c r="G32" s="454">
        <v>639371</v>
      </c>
      <c r="H32" s="764">
        <f>SUM('[14]Sumář celkem'!$K$80)</f>
        <v>522551</v>
      </c>
      <c r="I32" s="118">
        <f t="shared" si="5"/>
        <v>93.393230232504109</v>
      </c>
      <c r="J32" s="63"/>
    </row>
    <row r="33" spans="1:11" ht="15.75" customHeight="1" x14ac:dyDescent="0.25">
      <c r="A33" s="470"/>
      <c r="B33" s="46" t="s">
        <v>41</v>
      </c>
      <c r="C33" s="24">
        <v>203064</v>
      </c>
      <c r="D33" s="24">
        <v>214886</v>
      </c>
      <c r="E33" s="454">
        <f>SUM('[12]Sumář celkem'!$H$81)</f>
        <v>1117447</v>
      </c>
      <c r="F33" s="454">
        <f>SUM('[13]Sumář celkem'!$H$66)</f>
        <v>939668</v>
      </c>
      <c r="G33" s="454">
        <v>992364</v>
      </c>
      <c r="H33" s="764">
        <f>SUM('[14]Sumář celkem'!$K$81)</f>
        <v>1051286</v>
      </c>
      <c r="I33" s="118">
        <f>H33/E33*100</f>
        <v>94.079271768593941</v>
      </c>
      <c r="J33" s="63"/>
    </row>
    <row r="34" spans="1:11" ht="17.100000000000001" customHeight="1" x14ac:dyDescent="0.25">
      <c r="A34" s="470"/>
      <c r="B34" s="46" t="s">
        <v>40</v>
      </c>
      <c r="C34" s="24">
        <v>286197</v>
      </c>
      <c r="D34" s="24">
        <v>309963</v>
      </c>
      <c r="E34" s="454">
        <f>SUM('[12]Sumář celkem'!$H$82)</f>
        <v>371250</v>
      </c>
      <c r="F34" s="454">
        <f>SUM('[13]Sumář celkem'!$H$67)</f>
        <v>437981</v>
      </c>
      <c r="G34" s="454">
        <v>438351</v>
      </c>
      <c r="H34" s="764">
        <f>SUM('[14]Sumář celkem'!$K$82)</f>
        <v>366351</v>
      </c>
      <c r="I34" s="119">
        <f>H34/E34*100</f>
        <v>98.680404040404028</v>
      </c>
      <c r="J34" s="63"/>
    </row>
    <row r="35" spans="1:11" ht="17.100000000000001" customHeight="1" x14ac:dyDescent="0.25">
      <c r="A35" s="471"/>
      <c r="B35" s="47" t="s">
        <v>48</v>
      </c>
      <c r="C35" s="73">
        <v>1793</v>
      </c>
      <c r="D35" s="73">
        <v>19856</v>
      </c>
      <c r="E35" s="455">
        <f>SUM('[12]Sumář celkem'!$H$83)</f>
        <v>9181</v>
      </c>
      <c r="F35" s="772">
        <f>SUM('[13]Sumář celkem'!$H$68)</f>
        <v>11530</v>
      </c>
      <c r="G35" s="455">
        <v>10008</v>
      </c>
      <c r="H35" s="764">
        <f>SUM('[14]Sumář celkem'!$K$83)</f>
        <v>11503</v>
      </c>
      <c r="I35" s="119">
        <f>H35/E35*100</f>
        <v>125.29136259666703</v>
      </c>
      <c r="J35" s="64"/>
    </row>
    <row r="36" spans="1:11" ht="17.100000000000001" customHeight="1" x14ac:dyDescent="0.25">
      <c r="A36" s="470"/>
      <c r="B36" s="46" t="s">
        <v>42</v>
      </c>
      <c r="C36" s="24">
        <f>9849+180</f>
        <v>10029</v>
      </c>
      <c r="D36" s="24">
        <f>1744+200</f>
        <v>1944</v>
      </c>
      <c r="E36" s="454">
        <f>SUM('[12]Sumář celkem'!$H$84,'[12]Sumář celkem'!$H$85,'[12]Sumář celkem'!$H$89)</f>
        <v>3020</v>
      </c>
      <c r="F36" s="454">
        <f>SUM('[13]Sumář celkem'!$H$69:$H$71)</f>
        <v>2012</v>
      </c>
      <c r="G36" s="454">
        <v>2012</v>
      </c>
      <c r="H36" s="452">
        <f>SUM('[14]Sumář celkem'!$K$84:$K$85,'[14]Sumář celkem'!$K$89)</f>
        <v>2567</v>
      </c>
      <c r="I36" s="118">
        <f>H36/E36*100</f>
        <v>85</v>
      </c>
      <c r="J36" s="63"/>
    </row>
    <row r="37" spans="1:11" ht="17.100000000000001" customHeight="1" x14ac:dyDescent="0.25">
      <c r="A37" s="470"/>
      <c r="B37" s="46" t="s">
        <v>348</v>
      </c>
      <c r="C37" s="24"/>
      <c r="D37" s="24"/>
      <c r="E37" s="454">
        <f>SUM('[12]Sumář celkem'!$H$86)</f>
        <v>293529</v>
      </c>
      <c r="F37" s="454"/>
      <c r="G37" s="454"/>
      <c r="H37" s="764">
        <f>SUM('[14]Sumář celkem'!$K$86)</f>
        <v>132851</v>
      </c>
      <c r="I37" s="118"/>
      <c r="J37" s="63"/>
    </row>
    <row r="38" spans="1:11" ht="17.100000000000001" customHeight="1" x14ac:dyDescent="0.25">
      <c r="A38" s="470"/>
      <c r="B38" s="46" t="s">
        <v>349</v>
      </c>
      <c r="C38" s="24"/>
      <c r="D38" s="24"/>
      <c r="E38" s="454">
        <f>SUM('[12]Sumář celkem'!$H$87)</f>
        <v>184199</v>
      </c>
      <c r="F38" s="454"/>
      <c r="G38" s="454"/>
      <c r="H38" s="764">
        <f>SUM('[14]Sumář celkem'!$K$87)</f>
        <v>119766</v>
      </c>
      <c r="I38" s="118"/>
      <c r="J38" s="63"/>
    </row>
    <row r="39" spans="1:11" ht="17.100000000000001" customHeight="1" x14ac:dyDescent="0.25">
      <c r="A39" s="470"/>
      <c r="B39" s="46" t="s">
        <v>417</v>
      </c>
      <c r="C39" s="24"/>
      <c r="D39" s="24"/>
      <c r="E39" s="454">
        <f>SUM('[12]Sumář celkem'!$F$88)</f>
        <v>0</v>
      </c>
      <c r="F39" s="454"/>
      <c r="G39" s="454"/>
      <c r="H39" s="764">
        <f>SUM('[14]Sumář celkem'!$K$88)</f>
        <v>54877</v>
      </c>
      <c r="I39" s="118"/>
      <c r="J39" s="63"/>
    </row>
    <row r="40" spans="1:11" ht="17.100000000000001" customHeight="1" x14ac:dyDescent="0.25">
      <c r="A40" s="470"/>
      <c r="B40" s="46" t="s">
        <v>49</v>
      </c>
      <c r="C40" s="24">
        <v>0</v>
      </c>
      <c r="D40" s="24">
        <v>0</v>
      </c>
      <c r="E40" s="454">
        <f>SUM('[12]Sumář celkem'!$H$90)</f>
        <v>170000</v>
      </c>
      <c r="F40" s="454">
        <f>SUM('[13]Sumář celkem'!$H$72)</f>
        <v>20000</v>
      </c>
      <c r="G40" s="454">
        <v>20243</v>
      </c>
      <c r="H40" s="452">
        <f>SUM('[14]Sumář celkem'!$K$90)</f>
        <v>140000</v>
      </c>
      <c r="I40" s="118">
        <f t="shared" si="5"/>
        <v>82.35294117647058</v>
      </c>
      <c r="J40" s="63"/>
    </row>
    <row r="41" spans="1:11" ht="17.100000000000001" customHeight="1" x14ac:dyDescent="0.25">
      <c r="A41" s="470"/>
      <c r="B41" s="45" t="s">
        <v>85</v>
      </c>
      <c r="C41" s="24"/>
      <c r="D41" s="24"/>
      <c r="E41" s="453">
        <f>SUM('[12]Sumář celkem'!$H$92)</f>
        <v>895</v>
      </c>
      <c r="F41" s="453">
        <f>SUM('[13]Sumář celkem'!$H$76)</f>
        <v>595</v>
      </c>
      <c r="G41" s="456">
        <v>595</v>
      </c>
      <c r="H41" s="456">
        <f>SUM('[14]Sumář celkem'!$K$92)</f>
        <v>865</v>
      </c>
      <c r="I41" s="118">
        <f t="shared" si="5"/>
        <v>96.648044692737429</v>
      </c>
      <c r="J41" s="63"/>
    </row>
    <row r="42" spans="1:11" ht="17.100000000000001" customHeight="1" x14ac:dyDescent="0.25">
      <c r="A42" s="470"/>
      <c r="B42" s="46" t="s">
        <v>86</v>
      </c>
      <c r="C42" s="29">
        <v>884800</v>
      </c>
      <c r="D42" s="29">
        <v>918105</v>
      </c>
      <c r="E42" s="453">
        <f>SUM('[12]Sumář celkem'!$H$95)</f>
        <v>1826000</v>
      </c>
      <c r="F42" s="453">
        <f>SUM('[13]Sumář celkem'!$H$77)</f>
        <v>1462292</v>
      </c>
      <c r="G42" s="456">
        <v>1519083</v>
      </c>
      <c r="H42" s="456">
        <f>SUM('[14]Sumář celkem'!$K$95)</f>
        <v>2027000</v>
      </c>
      <c r="I42" s="118">
        <f t="shared" si="5"/>
        <v>111.00766703176342</v>
      </c>
      <c r="J42" s="71"/>
    </row>
    <row r="43" spans="1:11" s="31" customFormat="1" ht="17.100000000000001" customHeight="1" x14ac:dyDescent="0.25">
      <c r="A43" s="2">
        <v>4</v>
      </c>
      <c r="B43" s="4" t="s">
        <v>17</v>
      </c>
      <c r="C43" s="8">
        <v>6748</v>
      </c>
      <c r="D43" s="8">
        <v>8561</v>
      </c>
      <c r="E43" s="127">
        <f>SUM('[15]ORJ - 199'!$E$15)</f>
        <v>11790</v>
      </c>
      <c r="F43" s="486">
        <f>SUM('[16]ORJ - 199'!$G$15)</f>
        <v>12818</v>
      </c>
      <c r="G43" s="773">
        <v>15575</v>
      </c>
      <c r="H43" s="773">
        <f>SUM('[17]ORJ - 199'!$G$15)</f>
        <v>13417</v>
      </c>
      <c r="I43" s="118">
        <f t="shared" si="5"/>
        <v>113.79983036471586</v>
      </c>
      <c r="J43" s="71"/>
      <c r="K43" s="72"/>
    </row>
    <row r="44" spans="1:11" s="70" customFormat="1" ht="31.5" customHeight="1" x14ac:dyDescent="0.2">
      <c r="A44" s="3">
        <v>5</v>
      </c>
      <c r="B44" s="5" t="s">
        <v>12</v>
      </c>
      <c r="C44" s="9">
        <v>76597</v>
      </c>
      <c r="D44" s="9">
        <v>54670</v>
      </c>
      <c r="E44" s="487">
        <f>SUM('[18]ORJ - 99'!$D$15)</f>
        <v>34000</v>
      </c>
      <c r="F44" s="487">
        <f>SUM('[19]ORJ - 99'!$D$14)</f>
        <v>34300</v>
      </c>
      <c r="G44" s="487">
        <v>41173</v>
      </c>
      <c r="H44" s="487">
        <f>SUM('[20]ORJ - 99'!$F$15)</f>
        <v>34300</v>
      </c>
      <c r="I44" s="122">
        <f t="shared" si="5"/>
        <v>100.88235294117646</v>
      </c>
      <c r="J44" s="69"/>
      <c r="K44" s="123"/>
    </row>
    <row r="45" spans="1:11" s="120" customFormat="1" ht="17.100000000000001" customHeight="1" x14ac:dyDescent="0.25">
      <c r="A45" s="3">
        <v>6</v>
      </c>
      <c r="B45" s="101" t="s">
        <v>58</v>
      </c>
      <c r="C45" s="1037">
        <v>915943</v>
      </c>
      <c r="D45" s="1037">
        <v>937630</v>
      </c>
      <c r="E45" s="487">
        <f>SUM(E46:E53)</f>
        <v>1538246</v>
      </c>
      <c r="F45" s="487">
        <f t="shared" ref="F45" si="7">SUM(F46:F51,F53:F54)</f>
        <v>1486706.85</v>
      </c>
      <c r="G45" s="487">
        <v>1188070.7</v>
      </c>
      <c r="H45" s="88">
        <f>SUM(H46:H51,H53,H55)</f>
        <v>2223234</v>
      </c>
      <c r="I45" s="122">
        <f t="shared" si="5"/>
        <v>144.5304587172663</v>
      </c>
      <c r="J45" s="108"/>
      <c r="K45" s="121"/>
    </row>
    <row r="46" spans="1:11" s="120" customFormat="1" ht="17.100000000000001" customHeight="1" x14ac:dyDescent="0.25">
      <c r="A46" s="2"/>
      <c r="B46" s="102" t="s">
        <v>248</v>
      </c>
      <c r="C46" s="1038"/>
      <c r="D46" s="1038"/>
      <c r="E46" s="515">
        <v>7886</v>
      </c>
      <c r="F46" s="515">
        <f>SUM([21]Souhrn!$J$5)</f>
        <v>600808</v>
      </c>
      <c r="G46" s="762" t="s">
        <v>331</v>
      </c>
      <c r="H46" s="869">
        <f>SUM('[22]Souhrn '!$H$5)</f>
        <v>19233</v>
      </c>
      <c r="I46" s="516"/>
      <c r="J46" s="121"/>
      <c r="K46" s="121"/>
    </row>
    <row r="47" spans="1:11" s="120" customFormat="1" ht="17.100000000000001" customHeight="1" x14ac:dyDescent="0.25">
      <c r="A47" s="2"/>
      <c r="B47" s="102" t="s">
        <v>330</v>
      </c>
      <c r="C47" s="1038"/>
      <c r="D47" s="1038"/>
      <c r="E47" s="515">
        <v>239023</v>
      </c>
      <c r="F47" s="515"/>
      <c r="G47" s="762" t="s">
        <v>331</v>
      </c>
      <c r="H47" s="870">
        <f>SUM('[22]Souhrn '!$H$6)</f>
        <v>283300</v>
      </c>
      <c r="I47" s="516"/>
      <c r="J47" s="121"/>
      <c r="K47" s="121"/>
    </row>
    <row r="48" spans="1:11" s="120" customFormat="1" ht="17.100000000000001" customHeight="1" x14ac:dyDescent="0.25">
      <c r="A48" s="2"/>
      <c r="B48" s="102" t="s">
        <v>249</v>
      </c>
      <c r="C48" s="1038"/>
      <c r="D48" s="1038"/>
      <c r="E48" s="515">
        <v>31980</v>
      </c>
      <c r="F48" s="515"/>
      <c r="G48" s="762" t="s">
        <v>331</v>
      </c>
      <c r="H48" s="870">
        <f>SUM('[22]Souhrn '!$H$7)</f>
        <v>58980</v>
      </c>
      <c r="I48" s="516"/>
      <c r="J48" s="121"/>
      <c r="K48" s="121"/>
    </row>
    <row r="49" spans="1:11" s="120" customFormat="1" ht="17.100000000000001" customHeight="1" x14ac:dyDescent="0.25">
      <c r="A49" s="2"/>
      <c r="B49" s="102" t="s">
        <v>250</v>
      </c>
      <c r="C49" s="1038"/>
      <c r="D49" s="1038"/>
      <c r="E49" s="515">
        <v>406201</v>
      </c>
      <c r="F49" s="515"/>
      <c r="G49" s="762" t="s">
        <v>331</v>
      </c>
      <c r="H49" s="870">
        <f>SUM('[22]Souhrn '!$H$8)</f>
        <v>574385</v>
      </c>
      <c r="I49" s="516"/>
      <c r="J49" s="121"/>
      <c r="K49" s="121"/>
    </row>
    <row r="50" spans="1:11" s="120" customFormat="1" ht="17.100000000000001" customHeight="1" x14ac:dyDescent="0.25">
      <c r="A50" s="2"/>
      <c r="B50" s="102" t="s">
        <v>251</v>
      </c>
      <c r="C50" s="1038"/>
      <c r="D50" s="1038"/>
      <c r="E50" s="515">
        <v>25408</v>
      </c>
      <c r="F50" s="515"/>
      <c r="G50" s="762" t="s">
        <v>331</v>
      </c>
      <c r="H50" s="870">
        <f>SUM('[22]Souhrn '!$H$9)</f>
        <v>24471</v>
      </c>
      <c r="I50" s="516"/>
      <c r="J50" s="121"/>
      <c r="K50" s="121"/>
    </row>
    <row r="51" spans="1:11" s="120" customFormat="1" ht="17.100000000000001" customHeight="1" x14ac:dyDescent="0.25">
      <c r="A51" s="2"/>
      <c r="B51" s="102" t="s">
        <v>252</v>
      </c>
      <c r="C51" s="1038"/>
      <c r="D51" s="1038"/>
      <c r="E51" s="515">
        <v>47100</v>
      </c>
      <c r="F51" s="515">
        <f>SUM([21]Souhrn!$J$8)</f>
        <v>885898.85</v>
      </c>
      <c r="G51" s="762" t="s">
        <v>331</v>
      </c>
      <c r="H51" s="515">
        <f>SUM('[22]Souhrn '!$H$10)</f>
        <v>62725</v>
      </c>
      <c r="I51" s="516"/>
      <c r="J51" s="108"/>
      <c r="K51" s="121"/>
    </row>
    <row r="52" spans="1:11" s="120" customFormat="1" ht="17.100000000000001" customHeight="1" x14ac:dyDescent="0.25">
      <c r="A52" s="2"/>
      <c r="B52" s="524" t="s">
        <v>420</v>
      </c>
      <c r="C52" s="1038"/>
      <c r="D52" s="1038"/>
      <c r="E52" s="526">
        <v>0</v>
      </c>
      <c r="F52" s="515">
        <f>SUM([21]Souhrn!$H$13)</f>
        <v>484721.35</v>
      </c>
      <c r="G52" s="762" t="s">
        <v>331</v>
      </c>
      <c r="H52" s="782">
        <f>SUM('[22]Souhrn '!$D$10)</f>
        <v>31210</v>
      </c>
      <c r="I52" s="516"/>
      <c r="J52" s="108"/>
      <c r="K52" s="121"/>
    </row>
    <row r="53" spans="1:11" s="120" customFormat="1" ht="17.100000000000001" customHeight="1" x14ac:dyDescent="0.25">
      <c r="A53" s="2"/>
      <c r="B53" s="1006" t="s">
        <v>253</v>
      </c>
      <c r="C53" s="1038"/>
      <c r="D53" s="1038"/>
      <c r="E53" s="515">
        <v>780648</v>
      </c>
      <c r="F53" s="517">
        <v>0</v>
      </c>
      <c r="G53" s="763" t="s">
        <v>331</v>
      </c>
      <c r="H53" s="517">
        <f>SUM('[22]Souhrn '!$H$11)</f>
        <v>1003025</v>
      </c>
      <c r="I53" s="516"/>
      <c r="J53" s="108"/>
      <c r="K53" s="121"/>
    </row>
    <row r="54" spans="1:11" s="120" customFormat="1" ht="17.100000000000001" customHeight="1" x14ac:dyDescent="0.25">
      <c r="A54" s="2"/>
      <c r="B54" s="525" t="s">
        <v>419</v>
      </c>
      <c r="C54" s="1039"/>
      <c r="D54" s="1039"/>
      <c r="E54" s="526">
        <v>470000</v>
      </c>
      <c r="F54" s="515">
        <f>SUM([21]Souhrn!$J$12)</f>
        <v>0</v>
      </c>
      <c r="G54" s="762" t="s">
        <v>331</v>
      </c>
      <c r="H54" s="782">
        <f>SUM('[22]Souhrn '!$D$11)</f>
        <v>488136</v>
      </c>
      <c r="I54" s="516"/>
      <c r="J54" s="108"/>
      <c r="K54" s="121"/>
    </row>
    <row r="55" spans="1:11" s="120" customFormat="1" ht="17.100000000000001" customHeight="1" x14ac:dyDescent="0.25">
      <c r="A55" s="692"/>
      <c r="B55" s="875" t="s">
        <v>418</v>
      </c>
      <c r="C55" s="1005"/>
      <c r="D55" s="1005"/>
      <c r="E55" s="871"/>
      <c r="F55" s="872"/>
      <c r="G55" s="873"/>
      <c r="H55" s="872">
        <f>SUM('[22]Souhrn '!$H$12)</f>
        <v>197115</v>
      </c>
      <c r="I55" s="1007"/>
      <c r="J55" s="108"/>
      <c r="K55" s="121"/>
    </row>
    <row r="56" spans="1:11" s="120" customFormat="1" ht="17.100000000000001" customHeight="1" x14ac:dyDescent="0.25">
      <c r="A56" s="2"/>
      <c r="B56" s="525" t="s">
        <v>419</v>
      </c>
      <c r="C56" s="1005"/>
      <c r="D56" s="1005"/>
      <c r="E56" s="527"/>
      <c r="F56" s="517">
        <f>SUM([21]Souhrn!$J$12)</f>
        <v>0</v>
      </c>
      <c r="G56" s="763" t="s">
        <v>331</v>
      </c>
      <c r="H56" s="874">
        <f>SUM('[22]Souhrn '!$D$12)</f>
        <v>16380</v>
      </c>
      <c r="I56" s="516"/>
      <c r="J56" s="108"/>
      <c r="K56" s="121"/>
    </row>
    <row r="57" spans="1:11" s="31" customFormat="1" ht="24.95" customHeight="1" x14ac:dyDescent="0.25">
      <c r="A57" s="6">
        <v>7</v>
      </c>
      <c r="B57" s="10" t="s">
        <v>18</v>
      </c>
      <c r="C57" s="11">
        <f>SUM(C26,C29,C30,C43,C44,C45)</f>
        <v>4102557</v>
      </c>
      <c r="D57" s="11">
        <f>SUM(D26,D29,D30,D43,D44,D45)</f>
        <v>3963601</v>
      </c>
      <c r="E57" s="518">
        <f>SUM(E26,E29:E30,E43:E45)</f>
        <v>7799287</v>
      </c>
      <c r="F57" s="518">
        <f>SUM(F26,F29:F30,F43:F45)</f>
        <v>6683756.8499999996</v>
      </c>
      <c r="G57" s="518">
        <f>SUM(G26,G29:G30,G43:G45)</f>
        <v>6310636.7000000002</v>
      </c>
      <c r="H57" s="518">
        <f>SUM(H26,H29:H30,H43:H45)</f>
        <v>8477670</v>
      </c>
      <c r="I57" s="758">
        <f>H57/E57*100</f>
        <v>108.69801303631985</v>
      </c>
      <c r="J57" s="71"/>
      <c r="K57" s="72"/>
    </row>
    <row r="58" spans="1:11" s="95" customFormat="1" ht="17.100000000000001" customHeight="1" x14ac:dyDescent="0.2">
      <c r="A58" s="6">
        <v>8</v>
      </c>
      <c r="B58" s="80" t="s">
        <v>15</v>
      </c>
      <c r="C58" s="78">
        <v>-6424</v>
      </c>
      <c r="D58" s="78">
        <v>-7171</v>
      </c>
      <c r="E58" s="519">
        <v>-11679</v>
      </c>
      <c r="F58" s="520">
        <v>-12814</v>
      </c>
      <c r="G58" s="520">
        <v>-11278</v>
      </c>
      <c r="H58" s="520">
        <v>-13236</v>
      </c>
      <c r="I58" s="1007">
        <f>H58/E58*100</f>
        <v>113.33162085795017</v>
      </c>
      <c r="J58" s="99"/>
      <c r="K58" s="100"/>
    </row>
    <row r="59" spans="1:11" s="523" customFormat="1" ht="24.95" customHeight="1" thickBot="1" x14ac:dyDescent="0.3">
      <c r="A59" s="81">
        <v>9</v>
      </c>
      <c r="B59" s="82" t="s">
        <v>35</v>
      </c>
      <c r="C59" s="79">
        <f t="shared" ref="C59" si="8">SUM(C57:C58)</f>
        <v>4096133</v>
      </c>
      <c r="D59" s="79">
        <f t="shared" ref="D59:G59" si="9">SUM(D57:D58)</f>
        <v>3956430</v>
      </c>
      <c r="E59" s="521">
        <f t="shared" si="9"/>
        <v>7787608</v>
      </c>
      <c r="F59" s="521">
        <f t="shared" si="9"/>
        <v>6670942.8499999996</v>
      </c>
      <c r="G59" s="521">
        <f t="shared" si="9"/>
        <v>6299358.7000000002</v>
      </c>
      <c r="H59" s="521">
        <f>SUM(H57:H58)</f>
        <v>8464434</v>
      </c>
      <c r="I59" s="759">
        <f>H59/E59*100</f>
        <v>108.69106405972155</v>
      </c>
      <c r="J59" s="109"/>
      <c r="K59" s="522"/>
    </row>
    <row r="60" spans="1:11" ht="15.75" thickTop="1" x14ac:dyDescent="0.25">
      <c r="A60" s="65"/>
      <c r="E60" s="480"/>
      <c r="F60" s="451"/>
      <c r="G60" s="451"/>
      <c r="H60" s="451"/>
      <c r="I60" s="64"/>
      <c r="J60" s="63"/>
    </row>
    <row r="61" spans="1:11" s="31" customFormat="1" ht="16.5" thickBot="1" x14ac:dyDescent="0.3">
      <c r="A61" s="27" t="s">
        <v>43</v>
      </c>
      <c r="B61" s="110"/>
      <c r="E61" s="480"/>
      <c r="F61" s="480"/>
      <c r="G61" s="480"/>
      <c r="H61" s="451"/>
      <c r="I61" s="111" t="s">
        <v>0</v>
      </c>
      <c r="J61" s="71"/>
      <c r="K61" s="72"/>
    </row>
    <row r="62" spans="1:11" s="7" customFormat="1" ht="38.25" customHeight="1" thickTop="1" thickBot="1" x14ac:dyDescent="0.25">
      <c r="A62" s="23" t="s">
        <v>1</v>
      </c>
      <c r="B62" s="12" t="s">
        <v>16</v>
      </c>
      <c r="C62" s="112" t="s">
        <v>74</v>
      </c>
      <c r="D62" s="112" t="s">
        <v>75</v>
      </c>
      <c r="E62" s="481" t="s">
        <v>415</v>
      </c>
      <c r="F62" s="482" t="s">
        <v>95</v>
      </c>
      <c r="G62" s="481" t="s">
        <v>254</v>
      </c>
      <c r="H62" s="483" t="s">
        <v>416</v>
      </c>
      <c r="I62" s="484" t="s">
        <v>2</v>
      </c>
      <c r="J62" s="39"/>
      <c r="K62" s="21"/>
    </row>
    <row r="63" spans="1:11" s="1" customFormat="1" ht="12.75" thickTop="1" thickBot="1" x14ac:dyDescent="0.25">
      <c r="A63" s="13">
        <v>1</v>
      </c>
      <c r="B63" s="14">
        <v>2</v>
      </c>
      <c r="C63" s="15">
        <v>3</v>
      </c>
      <c r="D63" s="15">
        <v>4</v>
      </c>
      <c r="E63" s="15">
        <v>3</v>
      </c>
      <c r="F63" s="19">
        <v>4</v>
      </c>
      <c r="G63" s="19">
        <v>4</v>
      </c>
      <c r="H63" s="489">
        <v>5</v>
      </c>
      <c r="I63" s="488" t="s">
        <v>122</v>
      </c>
      <c r="J63" s="40"/>
      <c r="K63" s="20"/>
    </row>
    <row r="64" spans="1:11" s="68" customFormat="1" ht="31.5" customHeight="1" thickTop="1" x14ac:dyDescent="0.2">
      <c r="A64" s="495">
        <v>1</v>
      </c>
      <c r="B64" s="496" t="s">
        <v>411</v>
      </c>
      <c r="C64" s="497">
        <v>818235</v>
      </c>
      <c r="D64" s="497">
        <v>530440</v>
      </c>
      <c r="E64" s="876">
        <v>374000</v>
      </c>
      <c r="F64" s="498">
        <f>SUM('[23]zůstatek na účtu'!$G$13)</f>
        <v>0</v>
      </c>
      <c r="G64" s="498">
        <v>710900.5</v>
      </c>
      <c r="H64" s="474">
        <f>SUM('[24]zůstatek na účtu a zapojení úvě'!$G$16)</f>
        <v>850000</v>
      </c>
      <c r="I64" s="499">
        <f>H64/E64*100</f>
        <v>227.27272727272728</v>
      </c>
      <c r="J64" s="500"/>
      <c r="K64" s="17"/>
    </row>
    <row r="65" spans="1:11" s="68" customFormat="1" ht="17.100000000000001" customHeight="1" x14ac:dyDescent="0.2">
      <c r="A65" s="501">
        <v>2</v>
      </c>
      <c r="B65" s="502" t="s">
        <v>224</v>
      </c>
      <c r="C65" s="503"/>
      <c r="D65" s="503"/>
      <c r="E65" s="761">
        <v>470000</v>
      </c>
      <c r="F65" s="504"/>
      <c r="G65" s="504">
        <v>400000</v>
      </c>
      <c r="H65" s="868"/>
      <c r="I65" s="508">
        <f>H65/E65*100</f>
        <v>0</v>
      </c>
      <c r="J65" s="500"/>
      <c r="K65" s="17"/>
    </row>
    <row r="66" spans="1:11" s="68" customFormat="1" ht="17.100000000000001" customHeight="1" x14ac:dyDescent="0.2">
      <c r="A66" s="505">
        <v>3</v>
      </c>
      <c r="B66" s="506" t="s">
        <v>211</v>
      </c>
      <c r="C66" s="507"/>
      <c r="D66" s="507"/>
      <c r="E66" s="877">
        <f>-SUM('[25]Splátky úvěrů'!$E$15)</f>
        <v>-271341</v>
      </c>
      <c r="F66" s="494"/>
      <c r="G66" s="494">
        <v>-340055</v>
      </c>
      <c r="H66" s="878">
        <f>-SUM('[24]Splátky úvěrů'!$G$15)</f>
        <v>-244674</v>
      </c>
      <c r="I66" s="508">
        <f t="shared" ref="I66" si="10">H66/E66*100</f>
        <v>90.172145013101584</v>
      </c>
      <c r="J66" s="500"/>
      <c r="K66" s="17"/>
    </row>
    <row r="67" spans="1:11" s="473" customFormat="1" ht="24.95" customHeight="1" thickBot="1" x14ac:dyDescent="0.3">
      <c r="A67" s="509">
        <v>4</v>
      </c>
      <c r="B67" s="510" t="s">
        <v>20</v>
      </c>
      <c r="C67" s="511" t="e">
        <f>C64+#REF!+#REF!</f>
        <v>#REF!</v>
      </c>
      <c r="D67" s="511" t="e">
        <f>D64+#REF!+#REF!</f>
        <v>#REF!</v>
      </c>
      <c r="E67" s="521">
        <f>SUM(E64:E66)</f>
        <v>572659</v>
      </c>
      <c r="F67" s="512">
        <f>SUM(F64:F66)</f>
        <v>0</v>
      </c>
      <c r="G67" s="512">
        <f>SUM(G64:G66)</f>
        <v>770845.5</v>
      </c>
      <c r="H67" s="521">
        <f>SUM(H64:H66)</f>
        <v>605326</v>
      </c>
      <c r="I67" s="513">
        <f>H67/E67*100</f>
        <v>105.70444191045631</v>
      </c>
      <c r="J67" s="514"/>
      <c r="K67" s="472"/>
    </row>
    <row r="68" spans="1:11" ht="15.75" thickTop="1" x14ac:dyDescent="0.25">
      <c r="E68" s="451"/>
      <c r="F68" s="451"/>
      <c r="G68" s="451"/>
      <c r="H68" s="451"/>
      <c r="J68" s="63"/>
    </row>
    <row r="69" spans="1:11" s="105" customFormat="1" ht="16.5" hidden="1" thickBot="1" x14ac:dyDescent="0.3">
      <c r="A69" s="103" t="s">
        <v>88</v>
      </c>
      <c r="B69" s="104"/>
      <c r="C69" s="104"/>
      <c r="D69" s="104"/>
      <c r="E69" s="457"/>
      <c r="F69" s="458" t="e">
        <f>SUM(F72)</f>
        <v>#REF!</v>
      </c>
      <c r="G69" s="458"/>
      <c r="H69" s="458">
        <f>SUM(H72)</f>
        <v>0</v>
      </c>
      <c r="I69" s="103" t="s">
        <v>89</v>
      </c>
      <c r="K69" s="106"/>
    </row>
    <row r="70" spans="1:11" ht="15.75" x14ac:dyDescent="0.25">
      <c r="B70" s="114" t="s">
        <v>44</v>
      </c>
      <c r="C70" s="115">
        <f>SUM(C21,C64:D65)</f>
        <v>5292291</v>
      </c>
      <c r="D70" s="115">
        <f>SUM(D21,D64:D65)</f>
        <v>5099051</v>
      </c>
      <c r="E70" s="459">
        <f>SUM(E21,E64:E65)</f>
        <v>8058948.9999999991</v>
      </c>
      <c r="F70" s="459">
        <f>SUM(F21,F64:F65)</f>
        <v>5601995</v>
      </c>
      <c r="G70" s="459">
        <f>SUM(G21,G64:G65)</f>
        <v>6452390.7000000002</v>
      </c>
      <c r="H70" s="459">
        <f>SUM(H21,H64:H65)</f>
        <v>8709108</v>
      </c>
    </row>
    <row r="71" spans="1:11" ht="15.75" x14ac:dyDescent="0.25">
      <c r="B71" s="114" t="s">
        <v>45</v>
      </c>
      <c r="C71" s="115" t="e">
        <f>SUM(C59-#REF!)</f>
        <v>#REF!</v>
      </c>
      <c r="D71" s="115" t="e">
        <f>SUM(D59-#REF!)</f>
        <v>#REF!</v>
      </c>
      <c r="E71" s="459">
        <f>E59-E66</f>
        <v>8058949</v>
      </c>
      <c r="F71" s="459" t="e">
        <f>F59-F66-#REF!</f>
        <v>#REF!</v>
      </c>
      <c r="G71" s="459" t="e">
        <f>G59-G66-#REF!</f>
        <v>#REF!</v>
      </c>
      <c r="H71" s="459">
        <f>H59-H66</f>
        <v>8709108</v>
      </c>
    </row>
    <row r="72" spans="1:11" ht="15.75" x14ac:dyDescent="0.25">
      <c r="B72" s="114" t="s">
        <v>46</v>
      </c>
      <c r="C72" s="115" t="e">
        <f t="shared" ref="C72:D72" si="11">C71-C70</f>
        <v>#REF!</v>
      </c>
      <c r="D72" s="115" t="e">
        <f t="shared" si="11"/>
        <v>#REF!</v>
      </c>
      <c r="E72" s="459">
        <f>E71-E70</f>
        <v>0</v>
      </c>
      <c r="F72" s="459" t="e">
        <f t="shared" ref="F72:G72" si="12">F71-F70</f>
        <v>#REF!</v>
      </c>
      <c r="G72" s="459" t="e">
        <f t="shared" si="12"/>
        <v>#REF!</v>
      </c>
      <c r="H72" s="459">
        <f>H70-H71</f>
        <v>0</v>
      </c>
    </row>
    <row r="73" spans="1:11" x14ac:dyDescent="0.25">
      <c r="B73" s="116"/>
      <c r="C73" s="117"/>
      <c r="D73" s="117"/>
      <c r="E73" s="460"/>
      <c r="F73" s="460"/>
      <c r="G73" s="460"/>
      <c r="H73" s="451"/>
    </row>
    <row r="74" spans="1:11" x14ac:dyDescent="0.25">
      <c r="E74" s="64"/>
    </row>
    <row r="75" spans="1:11" ht="15.75" x14ac:dyDescent="0.25">
      <c r="E75" s="77"/>
      <c r="F75" s="77"/>
      <c r="G75" s="77"/>
      <c r="H75" s="128"/>
    </row>
    <row r="76" spans="1:11" ht="15.75" x14ac:dyDescent="0.25">
      <c r="E76" s="77"/>
      <c r="F76" s="77"/>
      <c r="G76" s="77"/>
      <c r="H76" s="129"/>
    </row>
    <row r="77" spans="1:11" ht="15.75" x14ac:dyDescent="0.25">
      <c r="E77" s="77"/>
      <c r="F77" s="77"/>
      <c r="G77" s="77"/>
      <c r="H77" s="129"/>
    </row>
    <row r="78" spans="1:11" ht="15.75" x14ac:dyDescent="0.25">
      <c r="E78" s="77"/>
      <c r="F78" s="77"/>
      <c r="G78" s="77"/>
      <c r="H78" s="77"/>
    </row>
    <row r="79" spans="1:11" ht="15.75" x14ac:dyDescent="0.25">
      <c r="E79" s="77"/>
      <c r="F79" s="77"/>
      <c r="G79" s="77"/>
      <c r="H79" s="77"/>
    </row>
  </sheetData>
  <mergeCells count="2">
    <mergeCell ref="C45:C54"/>
    <mergeCell ref="D45:D54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55" firstPageNumber="7" orientation="portrait" useFirstPageNumber="1" r:id="rId1"/>
  <headerFooter>
    <oddFooter>&amp;L&amp;"Arial,Kurzíva"Zastupitelstvo Olomouckého kraje 11.12.2023
2.1. - Rozpočet Olomouckého kraje na rok 2024 - návrh rozpočtu
Příloha č. 1: Návrh rozpočtu OK na rok 2024 (bilance) - zkrácená verze&amp;R&amp;"Arial,Kurzíva"Strana &amp;P (Celkem 216)</oddFooter>
  </headerFooter>
  <rowBreaks count="1" manualBreakCount="1">
    <brk id="72" max="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K57"/>
  <sheetViews>
    <sheetView tabSelected="1" view="pageBreakPreview" zoomScaleNormal="100" zoomScaleSheetLayoutView="100" workbookViewId="0">
      <selection activeCell="A2" sqref="A2"/>
    </sheetView>
  </sheetViews>
  <sheetFormatPr defaultColWidth="9.140625" defaultRowHeight="15" x14ac:dyDescent="0.25"/>
  <cols>
    <col min="1" max="1" width="17.140625" style="113" customWidth="1"/>
    <col min="2" max="2" width="56.28515625" style="65" customWidth="1"/>
    <col min="3" max="4" width="18.140625" style="65" hidden="1" customWidth="1"/>
    <col min="5" max="5" width="22.7109375" style="65" customWidth="1"/>
    <col min="6" max="6" width="22.7109375" style="65" hidden="1" customWidth="1"/>
    <col min="7" max="7" width="22.7109375" style="65" customWidth="1"/>
    <col min="8" max="9" width="15.42578125" style="65" customWidth="1"/>
    <col min="10" max="10" width="11.7109375" style="64" bestFit="1" customWidth="1"/>
    <col min="11" max="16384" width="9.140625" style="65"/>
  </cols>
  <sheetData>
    <row r="1" spans="1:10" ht="16.5" x14ac:dyDescent="0.25">
      <c r="A1" s="48" t="s">
        <v>553</v>
      </c>
      <c r="B1" s="120"/>
      <c r="C1" s="120"/>
      <c r="D1" s="120"/>
      <c r="E1" s="120"/>
      <c r="F1" s="31"/>
      <c r="G1" s="31"/>
      <c r="H1" s="31"/>
      <c r="I1" s="31"/>
    </row>
    <row r="2" spans="1:10" ht="16.5" thickBot="1" x14ac:dyDescent="0.3">
      <c r="A2" s="26" t="s">
        <v>38</v>
      </c>
      <c r="B2" s="31"/>
      <c r="C2" s="31"/>
      <c r="D2" s="31"/>
      <c r="E2" s="31"/>
      <c r="F2" s="31"/>
      <c r="G2" s="31"/>
      <c r="H2" s="111"/>
      <c r="I2" s="111" t="s">
        <v>0</v>
      </c>
    </row>
    <row r="3" spans="1:10" ht="41.25" customHeight="1" thickTop="1" thickBot="1" x14ac:dyDescent="0.3">
      <c r="A3" s="23" t="s">
        <v>260</v>
      </c>
      <c r="B3" s="18" t="s">
        <v>36</v>
      </c>
      <c r="C3" s="112" t="s">
        <v>74</v>
      </c>
      <c r="D3" s="112" t="s">
        <v>75</v>
      </c>
      <c r="E3" s="147" t="s">
        <v>415</v>
      </c>
      <c r="F3" s="147" t="s">
        <v>522</v>
      </c>
      <c r="G3" s="147" t="s">
        <v>423</v>
      </c>
      <c r="H3" s="789" t="s">
        <v>2</v>
      </c>
      <c r="I3" s="785" t="s">
        <v>338</v>
      </c>
    </row>
    <row r="4" spans="1:10" s="467" customFormat="1" ht="12.75" thickTop="1" thickBot="1" x14ac:dyDescent="0.25">
      <c r="A4" s="13">
        <v>1</v>
      </c>
      <c r="B4" s="14">
        <v>2</v>
      </c>
      <c r="C4" s="15">
        <v>3</v>
      </c>
      <c r="D4" s="15">
        <v>4</v>
      </c>
      <c r="E4" s="15">
        <v>3</v>
      </c>
      <c r="F4" s="19">
        <v>4</v>
      </c>
      <c r="G4" s="489">
        <v>4</v>
      </c>
      <c r="H4" s="790" t="s">
        <v>339</v>
      </c>
      <c r="I4" s="16" t="s">
        <v>340</v>
      </c>
      <c r="J4" s="468"/>
    </row>
    <row r="5" spans="1:10" ht="17.100000000000001" customHeight="1" thickTop="1" x14ac:dyDescent="0.25">
      <c r="A5" s="2">
        <v>1</v>
      </c>
      <c r="B5" s="84" t="s">
        <v>3</v>
      </c>
      <c r="C5" s="85">
        <f>790223+32010+94954+882612+1728918</f>
        <v>3528717</v>
      </c>
      <c r="D5" s="85">
        <f>897745+24607+96841+1000783+2056630</f>
        <v>4076606</v>
      </c>
      <c r="E5" s="490">
        <f>SUM('a) Příjmy'!D67)</f>
        <v>6535190</v>
      </c>
      <c r="F5" s="490">
        <f>SUM('a) Příjmy'!E51:E51,'a) Příjmy'!E12:E13)</f>
        <v>6535190</v>
      </c>
      <c r="G5" s="490">
        <f>SUM('a) Příjmy'!F67)</f>
        <v>7135330</v>
      </c>
      <c r="H5" s="760">
        <f>G5/E5*100</f>
        <v>109.1832066091422</v>
      </c>
      <c r="I5" s="118">
        <f>G5-E5</f>
        <v>600140</v>
      </c>
    </row>
    <row r="6" spans="1:10" ht="17.100000000000001" customHeight="1" x14ac:dyDescent="0.25">
      <c r="A6" s="3">
        <v>2</v>
      </c>
      <c r="B6" s="4" t="s">
        <v>325</v>
      </c>
      <c r="C6" s="86">
        <v>1343</v>
      </c>
      <c r="D6" s="86">
        <f>149+57+3+291+214+902+127+1</f>
        <v>1744</v>
      </c>
      <c r="E6" s="89">
        <f>SUM('a) Příjmy'!D68)</f>
        <v>329345.39999999997</v>
      </c>
      <c r="F6" s="777"/>
      <c r="G6" s="777">
        <f>SUM('a) Příjmy'!F68)</f>
        <v>319959.99999999994</v>
      </c>
      <c r="H6" s="760">
        <f t="shared" ref="H6:H11" si="0">G6/E6*100</f>
        <v>97.150286598810837</v>
      </c>
      <c r="I6" s="118">
        <f t="shared" ref="I6:I8" si="1">G6-E6</f>
        <v>-9385.4000000000233</v>
      </c>
    </row>
    <row r="7" spans="1:10" ht="17.100000000000001" customHeight="1" x14ac:dyDescent="0.25">
      <c r="A7" s="2">
        <v>3</v>
      </c>
      <c r="B7" s="4" t="s">
        <v>326</v>
      </c>
      <c r="C7" s="86">
        <f>907+304</f>
        <v>1211</v>
      </c>
      <c r="D7" s="86">
        <f>1210+7+374</f>
        <v>1591</v>
      </c>
      <c r="E7" s="89">
        <f>SUM('a) Příjmy'!D69)</f>
        <v>10010</v>
      </c>
      <c r="F7" s="777"/>
      <c r="G7" s="777">
        <f>SUM('a) Příjmy'!F69)</f>
        <v>7240</v>
      </c>
      <c r="H7" s="760">
        <f t="shared" si="0"/>
        <v>72.327672327672332</v>
      </c>
      <c r="I7" s="118">
        <f t="shared" si="1"/>
        <v>-2770</v>
      </c>
    </row>
    <row r="8" spans="1:10" ht="17.100000000000001" customHeight="1" x14ac:dyDescent="0.25">
      <c r="A8" s="3">
        <v>4</v>
      </c>
      <c r="B8" s="5" t="s">
        <v>327</v>
      </c>
      <c r="C8" s="87">
        <v>161961</v>
      </c>
      <c r="D8" s="87">
        <v>168785</v>
      </c>
      <c r="E8" s="88">
        <f>SUM('a) Příjmy'!D70)</f>
        <v>352082.6</v>
      </c>
      <c r="F8" s="487"/>
      <c r="G8" s="487">
        <f>SUM('a) Příjmy'!F70)</f>
        <v>409814</v>
      </c>
      <c r="H8" s="760">
        <f t="shared" si="0"/>
        <v>116.39711817624614</v>
      </c>
      <c r="I8" s="118">
        <f t="shared" si="1"/>
        <v>57731.400000000023</v>
      </c>
    </row>
    <row r="9" spans="1:10" s="77" customFormat="1" ht="24.95" customHeight="1" x14ac:dyDescent="0.25">
      <c r="A9" s="6"/>
      <c r="B9" s="91" t="s">
        <v>14</v>
      </c>
      <c r="C9" s="92">
        <f>SUM(C5:C8)</f>
        <v>3693232</v>
      </c>
      <c r="D9" s="92">
        <f>SUM(D5:D8)</f>
        <v>4248726</v>
      </c>
      <c r="E9" s="491">
        <f>SUM(E5:E8)</f>
        <v>7226628</v>
      </c>
      <c r="F9" s="491">
        <f>SUM(F5:F8)</f>
        <v>6535190</v>
      </c>
      <c r="G9" s="778">
        <f>SUM(G5:G8)</f>
        <v>7872344</v>
      </c>
      <c r="H9" s="798">
        <f t="shared" si="0"/>
        <v>108.93523231028357</v>
      </c>
      <c r="I9" s="124">
        <f>G9-E9</f>
        <v>645716</v>
      </c>
      <c r="J9" s="129"/>
    </row>
    <row r="10" spans="1:10" s="68" customFormat="1" ht="17.100000000000001" customHeight="1" x14ac:dyDescent="0.2">
      <c r="A10" s="6">
        <v>4</v>
      </c>
      <c r="B10" s="93" t="s">
        <v>15</v>
      </c>
      <c r="C10" s="94">
        <v>-6424</v>
      </c>
      <c r="D10" s="94">
        <v>-7171</v>
      </c>
      <c r="E10" s="492">
        <v>-11679</v>
      </c>
      <c r="F10" s="779">
        <v>-12814</v>
      </c>
      <c r="G10" s="780">
        <v>-13236</v>
      </c>
      <c r="H10" s="779">
        <f t="shared" si="0"/>
        <v>113.33162085795017</v>
      </c>
      <c r="I10" s="125">
        <f>-(G10-E10)</f>
        <v>1557</v>
      </c>
      <c r="J10" s="17"/>
    </row>
    <row r="11" spans="1:10" ht="24.75" customHeight="1" thickBot="1" x14ac:dyDescent="0.3">
      <c r="A11" s="96"/>
      <c r="B11" s="97" t="s">
        <v>19</v>
      </c>
      <c r="C11" s="98">
        <f t="shared" ref="C11:D11" si="2">SUM(C9:C10)</f>
        <v>3686808</v>
      </c>
      <c r="D11" s="98">
        <f t="shared" si="2"/>
        <v>4241555</v>
      </c>
      <c r="E11" s="493">
        <f>SUM(E9:E10)</f>
        <v>7214949</v>
      </c>
      <c r="F11" s="493">
        <f>SUM(F9:F10)</f>
        <v>6522376</v>
      </c>
      <c r="G11" s="781">
        <f>SUM(G9:G10)</f>
        <v>7859108</v>
      </c>
      <c r="H11" s="799">
        <f t="shared" si="0"/>
        <v>108.92811577739496</v>
      </c>
      <c r="I11" s="126">
        <f>G11-E11</f>
        <v>644159</v>
      </c>
    </row>
    <row r="12" spans="1:10" ht="15.75" thickTop="1" x14ac:dyDescent="0.25">
      <c r="E12" s="480"/>
      <c r="F12" s="480"/>
      <c r="G12" s="480"/>
      <c r="H12" s="31"/>
      <c r="I12" s="31"/>
    </row>
    <row r="13" spans="1:10" ht="16.5" thickBot="1" x14ac:dyDescent="0.3">
      <c r="A13" s="25" t="s">
        <v>37</v>
      </c>
      <c r="B13" s="110"/>
      <c r="C13" s="31"/>
      <c r="D13" s="31"/>
      <c r="E13" s="480"/>
      <c r="F13" s="480"/>
      <c r="G13" s="480"/>
      <c r="H13" s="111"/>
      <c r="I13" s="111" t="s">
        <v>0</v>
      </c>
      <c r="J13" s="72"/>
    </row>
    <row r="14" spans="1:10" s="469" customFormat="1" ht="38.25" customHeight="1" thickTop="1" thickBot="1" x14ac:dyDescent="0.25">
      <c r="A14" s="23" t="s">
        <v>260</v>
      </c>
      <c r="B14" s="12" t="s">
        <v>16</v>
      </c>
      <c r="C14" s="112" t="s">
        <v>74</v>
      </c>
      <c r="D14" s="112" t="s">
        <v>75</v>
      </c>
      <c r="E14" s="147" t="s">
        <v>415</v>
      </c>
      <c r="F14" s="147" t="s">
        <v>522</v>
      </c>
      <c r="G14" s="147" t="s">
        <v>423</v>
      </c>
      <c r="H14" s="789" t="s">
        <v>2</v>
      </c>
      <c r="I14" s="785" t="s">
        <v>338</v>
      </c>
      <c r="J14" s="21"/>
    </row>
    <row r="15" spans="1:10" s="467" customFormat="1" ht="12.75" thickTop="1" thickBot="1" x14ac:dyDescent="0.25">
      <c r="A15" s="13">
        <v>1</v>
      </c>
      <c r="B15" s="14">
        <v>2</v>
      </c>
      <c r="C15" s="15">
        <v>3</v>
      </c>
      <c r="D15" s="15">
        <v>4</v>
      </c>
      <c r="E15" s="15">
        <v>3</v>
      </c>
      <c r="F15" s="19">
        <v>4</v>
      </c>
      <c r="G15" s="489">
        <v>4</v>
      </c>
      <c r="H15" s="790" t="s">
        <v>339</v>
      </c>
      <c r="I15" s="16" t="s">
        <v>340</v>
      </c>
      <c r="J15" s="468"/>
    </row>
    <row r="16" spans="1:10" s="31" customFormat="1" ht="17.100000000000001" customHeight="1" thickTop="1" x14ac:dyDescent="0.25">
      <c r="A16" s="107">
        <v>5</v>
      </c>
      <c r="B16" s="734" t="s">
        <v>261</v>
      </c>
      <c r="C16" s="28"/>
      <c r="D16" s="28"/>
      <c r="E16" s="474">
        <f>SUM(E17:E23)</f>
        <v>6276965</v>
      </c>
      <c r="F16" s="474" t="e">
        <f t="shared" ref="F16" si="3">SUM(F17:F23)</f>
        <v>#REF!</v>
      </c>
      <c r="G16" s="474">
        <f>SUM(G17:G23)</f>
        <v>6377572</v>
      </c>
      <c r="H16" s="760">
        <f t="shared" ref="H16:H34" si="4">G16/E16*100</f>
        <v>101.60279689308447</v>
      </c>
      <c r="I16" s="118">
        <f>G16-E16</f>
        <v>100607</v>
      </c>
      <c r="J16" s="72"/>
    </row>
    <row r="17" spans="1:11" ht="17.100000000000001" customHeight="1" x14ac:dyDescent="0.25">
      <c r="A17" s="1013"/>
      <c r="B17" s="1016" t="s">
        <v>262</v>
      </c>
      <c r="C17" s="1017"/>
      <c r="D17" s="1017"/>
      <c r="E17" s="548">
        <f>SUM('b) Výdaje'!F68)</f>
        <v>1214805</v>
      </c>
      <c r="F17" s="548"/>
      <c r="G17" s="548">
        <f>SUM('b) Výdaje'!H68)</f>
        <v>1217573</v>
      </c>
      <c r="H17" s="796">
        <f t="shared" si="4"/>
        <v>100.22785549944228</v>
      </c>
      <c r="I17" s="549">
        <f>G17-E17</f>
        <v>2768</v>
      </c>
      <c r="J17" s="1015">
        <f>SUM(G17,G25)</f>
        <v>1223558</v>
      </c>
    </row>
    <row r="18" spans="1:11" ht="15.75" customHeight="1" x14ac:dyDescent="0.25">
      <c r="A18" s="1013"/>
      <c r="B18" s="552" t="s">
        <v>264</v>
      </c>
      <c r="C18" s="1017"/>
      <c r="D18" s="1017"/>
      <c r="E18" s="548">
        <f>SUM('c) Dotační tituly'!E118)</f>
        <v>403353</v>
      </c>
      <c r="F18" s="548"/>
      <c r="G18" s="548">
        <f>SUM('c) Dotační tituly'!G118)</f>
        <v>466294</v>
      </c>
      <c r="H18" s="796">
        <f t="shared" si="4"/>
        <v>115.60444573363777</v>
      </c>
      <c r="I18" s="549">
        <f t="shared" ref="I18:I23" si="5">G18-E18</f>
        <v>62941</v>
      </c>
      <c r="J18" s="1015">
        <f>SUM(G18,G26)</f>
        <v>553544</v>
      </c>
    </row>
    <row r="19" spans="1:11" s="41" customFormat="1" ht="17.100000000000001" customHeight="1" x14ac:dyDescent="0.25">
      <c r="A19" s="1018"/>
      <c r="B19" s="1019" t="s">
        <v>298</v>
      </c>
      <c r="C19" s="1020"/>
      <c r="D19" s="1020"/>
      <c r="E19" s="548">
        <f>SUM('d) Příspěvkové organizace'!H79)</f>
        <v>2708143</v>
      </c>
      <c r="F19" s="548" t="e">
        <f>SUM('d) Příspěvkové organizace'!#REF!)</f>
        <v>#REF!</v>
      </c>
      <c r="G19" s="548">
        <f>SUM('d) Příspěvkové organizace'!K79)</f>
        <v>2401752</v>
      </c>
      <c r="H19" s="796">
        <f t="shared" si="4"/>
        <v>88.686306446890001</v>
      </c>
      <c r="I19" s="549">
        <f t="shared" si="5"/>
        <v>-306391</v>
      </c>
      <c r="J19" s="1021">
        <f>SUM(G19:G20,G27:G28)</f>
        <v>4429617</v>
      </c>
    </row>
    <row r="20" spans="1:11" s="41" customFormat="1" ht="17.100000000000001" customHeight="1" x14ac:dyDescent="0.25">
      <c r="A20" s="1018"/>
      <c r="B20" s="1019" t="s">
        <v>335</v>
      </c>
      <c r="C20" s="1020"/>
      <c r="D20" s="1020"/>
      <c r="E20" s="548">
        <f>SUM('d) Příspěvkové organizace'!H95)</f>
        <v>1826000</v>
      </c>
      <c r="F20" s="548"/>
      <c r="G20" s="548">
        <f>SUM('d) Příspěvkové organizace'!K95)</f>
        <v>2027000</v>
      </c>
      <c r="H20" s="796"/>
      <c r="I20" s="549">
        <f t="shared" si="5"/>
        <v>201000</v>
      </c>
      <c r="J20" s="1021"/>
    </row>
    <row r="21" spans="1:11" ht="17.100000000000001" customHeight="1" x14ac:dyDescent="0.25">
      <c r="A21" s="1022"/>
      <c r="B21" s="552" t="s">
        <v>299</v>
      </c>
      <c r="C21" s="1023"/>
      <c r="D21" s="1023"/>
      <c r="E21" s="550">
        <f>SUM('e) FSP'!D15)</f>
        <v>11790</v>
      </c>
      <c r="F21" s="550"/>
      <c r="G21" s="550">
        <f>SUM('e) FSP'!F15)</f>
        <v>13417</v>
      </c>
      <c r="H21" s="796">
        <f t="shared" si="4"/>
        <v>113.79983036471586</v>
      </c>
      <c r="I21" s="549">
        <f t="shared" si="5"/>
        <v>1627</v>
      </c>
      <c r="J21" s="1015">
        <f>SUM(G19:G20)</f>
        <v>4428752</v>
      </c>
      <c r="K21" s="64"/>
    </row>
    <row r="22" spans="1:11" ht="42" customHeight="1" x14ac:dyDescent="0.25">
      <c r="A22" s="470"/>
      <c r="B22" s="634" t="s">
        <v>300</v>
      </c>
      <c r="C22" s="29"/>
      <c r="D22" s="29"/>
      <c r="E22" s="550">
        <f>SUM('f) Fond voda'!D43)</f>
        <v>0</v>
      </c>
      <c r="F22" s="550"/>
      <c r="G22" s="550">
        <v>0</v>
      </c>
      <c r="H22" s="796">
        <v>0</v>
      </c>
      <c r="I22" s="549">
        <f t="shared" si="5"/>
        <v>0</v>
      </c>
      <c r="K22" s="64"/>
    </row>
    <row r="23" spans="1:11" ht="17.100000000000001" customHeight="1" x14ac:dyDescent="0.25">
      <c r="A23" s="470"/>
      <c r="B23" s="552" t="s">
        <v>336</v>
      </c>
      <c r="C23" s="24"/>
      <c r="D23" s="24"/>
      <c r="E23" s="550">
        <v>112874</v>
      </c>
      <c r="F23" s="550"/>
      <c r="G23" s="548">
        <v>251536</v>
      </c>
      <c r="H23" s="796">
        <v>0</v>
      </c>
      <c r="I23" s="549">
        <f t="shared" si="5"/>
        <v>138662</v>
      </c>
      <c r="J23" s="64">
        <f>SUM(G23,G31)</f>
        <v>2223234</v>
      </c>
    </row>
    <row r="24" spans="1:11" ht="17.100000000000001" customHeight="1" x14ac:dyDescent="0.25">
      <c r="A24" s="107">
        <v>6</v>
      </c>
      <c r="B24" s="45" t="s">
        <v>263</v>
      </c>
      <c r="C24" s="24"/>
      <c r="D24" s="24"/>
      <c r="E24" s="486">
        <f>SUM(E25:E31)</f>
        <v>1522322</v>
      </c>
      <c r="F24" s="486">
        <f t="shared" ref="F24" si="6">SUM(F25:F31)</f>
        <v>0</v>
      </c>
      <c r="G24" s="486">
        <f>SUM(G25:G31)</f>
        <v>2100098</v>
      </c>
      <c r="H24" s="760">
        <f t="shared" si="4"/>
        <v>137.95359982973378</v>
      </c>
      <c r="I24" s="118">
        <f>G24-E24</f>
        <v>577776</v>
      </c>
    </row>
    <row r="25" spans="1:11" s="1025" customFormat="1" ht="17.100000000000001" customHeight="1" x14ac:dyDescent="0.25">
      <c r="A25" s="1013"/>
      <c r="B25" s="1016" t="s">
        <v>262</v>
      </c>
      <c r="C25" s="1024"/>
      <c r="D25" s="1024"/>
      <c r="E25" s="550">
        <f>SUM('b) Výdaje'!F69)</f>
        <v>8905</v>
      </c>
      <c r="F25" s="550"/>
      <c r="G25" s="548">
        <f>SUM('b) Výdaje'!H69)</f>
        <v>5985</v>
      </c>
      <c r="H25" s="1014">
        <f t="shared" si="4"/>
        <v>67.209432902863568</v>
      </c>
      <c r="I25" s="551">
        <f>G25-E25</f>
        <v>-2920</v>
      </c>
      <c r="J25" s="1015"/>
    </row>
    <row r="26" spans="1:11" s="1025" customFormat="1" ht="17.100000000000001" customHeight="1" x14ac:dyDescent="0.25">
      <c r="A26" s="1013"/>
      <c r="B26" s="552" t="s">
        <v>264</v>
      </c>
      <c r="C26" s="1024"/>
      <c r="D26" s="1024"/>
      <c r="E26" s="550">
        <f>SUM('c) Dotační tituly'!E119)</f>
        <v>53150</v>
      </c>
      <c r="F26" s="550"/>
      <c r="G26" s="548">
        <f>SUM('c) Dotační tituly'!G119)</f>
        <v>87250</v>
      </c>
      <c r="H26" s="796">
        <f t="shared" si="4"/>
        <v>164.15804327375352</v>
      </c>
      <c r="I26" s="551">
        <f t="shared" ref="I26:I31" si="7">G26-E26</f>
        <v>34100</v>
      </c>
      <c r="J26" s="1015"/>
    </row>
    <row r="27" spans="1:11" s="1025" customFormat="1" ht="17.100000000000001" customHeight="1" x14ac:dyDescent="0.25">
      <c r="A27" s="1013"/>
      <c r="B27" s="1019" t="s">
        <v>298</v>
      </c>
      <c r="C27" s="1026"/>
      <c r="D27" s="1026"/>
      <c r="E27" s="550">
        <f>SUM('d) Příspěvkové organizace'!H92)</f>
        <v>895</v>
      </c>
      <c r="F27" s="550">
        <f>SUM('d) Příspěvkové organizace'!E81)</f>
        <v>0</v>
      </c>
      <c r="G27" s="548">
        <f>SUM('d) Příspěvkové organizace'!K92)</f>
        <v>865</v>
      </c>
      <c r="H27" s="796">
        <f>G27/E27*100</f>
        <v>96.648044692737429</v>
      </c>
      <c r="I27" s="551">
        <f t="shared" si="7"/>
        <v>-30</v>
      </c>
      <c r="J27" s="1015"/>
    </row>
    <row r="28" spans="1:11" s="1025" customFormat="1" ht="17.100000000000001" customHeight="1" x14ac:dyDescent="0.25">
      <c r="A28" s="1013"/>
      <c r="B28" s="1019" t="s">
        <v>335</v>
      </c>
      <c r="C28" s="1026"/>
      <c r="D28" s="1026"/>
      <c r="E28" s="550">
        <v>0</v>
      </c>
      <c r="F28" s="550"/>
      <c r="G28" s="548">
        <v>0</v>
      </c>
      <c r="H28" s="796"/>
      <c r="I28" s="551">
        <f t="shared" si="7"/>
        <v>0</v>
      </c>
      <c r="J28" s="1015"/>
    </row>
    <row r="29" spans="1:11" s="1025" customFormat="1" ht="17.100000000000001" customHeight="1" x14ac:dyDescent="0.25">
      <c r="A29" s="1013"/>
      <c r="B29" s="552" t="s">
        <v>299</v>
      </c>
      <c r="C29" s="1023"/>
      <c r="D29" s="1023"/>
      <c r="E29" s="550">
        <v>0</v>
      </c>
      <c r="F29" s="550"/>
      <c r="G29" s="548">
        <v>0</v>
      </c>
      <c r="H29" s="796">
        <v>0</v>
      </c>
      <c r="I29" s="551">
        <f t="shared" si="7"/>
        <v>0</v>
      </c>
      <c r="J29" s="1015"/>
    </row>
    <row r="30" spans="1:11" s="1029" customFormat="1" ht="44.25" customHeight="1" x14ac:dyDescent="0.2">
      <c r="A30" s="1022"/>
      <c r="B30" s="634" t="s">
        <v>300</v>
      </c>
      <c r="C30" s="1027"/>
      <c r="D30" s="1027"/>
      <c r="E30" s="782">
        <f>SUM('f) Fond voda'!D15)</f>
        <v>34000</v>
      </c>
      <c r="F30" s="782"/>
      <c r="G30" s="782">
        <f>SUM('f) Fond voda'!F15)</f>
        <v>34300</v>
      </c>
      <c r="H30" s="797">
        <f t="shared" si="4"/>
        <v>100.88235294117646</v>
      </c>
      <c r="I30" s="551">
        <f t="shared" si="7"/>
        <v>300</v>
      </c>
      <c r="J30" s="1028"/>
    </row>
    <row r="31" spans="1:11" s="120" customFormat="1" ht="17.100000000000001" customHeight="1" x14ac:dyDescent="0.25">
      <c r="A31" s="44"/>
      <c r="B31" s="735" t="s">
        <v>337</v>
      </c>
      <c r="C31" s="736"/>
      <c r="D31" s="736"/>
      <c r="E31" s="783">
        <v>1425372</v>
      </c>
      <c r="F31" s="783"/>
      <c r="G31" s="783">
        <v>1971698</v>
      </c>
      <c r="H31" s="797">
        <f>G31/E31*100</f>
        <v>138.32866086888197</v>
      </c>
      <c r="I31" s="551">
        <f t="shared" si="7"/>
        <v>546326</v>
      </c>
      <c r="J31" s="121">
        <f>SUM(I25:I31)</f>
        <v>577776</v>
      </c>
    </row>
    <row r="32" spans="1:11" s="31" customFormat="1" ht="24.95" customHeight="1" x14ac:dyDescent="0.25">
      <c r="A32" s="6"/>
      <c r="B32" s="10" t="s">
        <v>18</v>
      </c>
      <c r="C32" s="11">
        <f>SUM(C16,C19,C21,C29,C30,C31)</f>
        <v>0</v>
      </c>
      <c r="D32" s="11">
        <f>SUM(D16,D19,D21,D29,D30,D31)</f>
        <v>0</v>
      </c>
      <c r="E32" s="518">
        <f>SUM(E16,E24)</f>
        <v>7799287</v>
      </c>
      <c r="F32" s="518" t="e">
        <f>SUM(F16,F24)</f>
        <v>#REF!</v>
      </c>
      <c r="G32" s="518">
        <f>SUM(G16,G24)</f>
        <v>8477670</v>
      </c>
      <c r="H32" s="518">
        <f t="shared" si="4"/>
        <v>108.69801303631985</v>
      </c>
      <c r="I32" s="758">
        <f>G32-E32</f>
        <v>678383</v>
      </c>
      <c r="J32" s="72"/>
    </row>
    <row r="33" spans="1:10" s="95" customFormat="1" ht="17.100000000000001" customHeight="1" x14ac:dyDescent="0.2">
      <c r="A33" s="6">
        <v>5</v>
      </c>
      <c r="B33" s="80" t="s">
        <v>15</v>
      </c>
      <c r="C33" s="78">
        <v>-6424</v>
      </c>
      <c r="D33" s="78">
        <v>-7171</v>
      </c>
      <c r="E33" s="519">
        <v>-11679</v>
      </c>
      <c r="F33" s="520">
        <v>-12814</v>
      </c>
      <c r="G33" s="520">
        <v>-13236</v>
      </c>
      <c r="H33" s="520">
        <f t="shared" si="4"/>
        <v>113.33162085795017</v>
      </c>
      <c r="I33" s="125">
        <f>-(G33-E33)</f>
        <v>1557</v>
      </c>
      <c r="J33" s="100"/>
    </row>
    <row r="34" spans="1:10" s="523" customFormat="1" ht="24.95" customHeight="1" thickBot="1" x14ac:dyDescent="0.3">
      <c r="A34" s="81"/>
      <c r="B34" s="82" t="s">
        <v>35</v>
      </c>
      <c r="C34" s="79">
        <f t="shared" ref="C34" si="8">SUM(C32:C33)</f>
        <v>-6424</v>
      </c>
      <c r="D34" s="79">
        <f t="shared" ref="D34:F34" si="9">SUM(D32:D33)</f>
        <v>-7171</v>
      </c>
      <c r="E34" s="521">
        <f t="shared" si="9"/>
        <v>7787608</v>
      </c>
      <c r="F34" s="521" t="e">
        <f t="shared" si="9"/>
        <v>#REF!</v>
      </c>
      <c r="G34" s="521">
        <f>SUM(G32:G33)</f>
        <v>8464434</v>
      </c>
      <c r="H34" s="521">
        <f t="shared" si="4"/>
        <v>108.69106405972155</v>
      </c>
      <c r="I34" s="759">
        <f>G34-E34</f>
        <v>676826</v>
      </c>
      <c r="J34" s="522">
        <f>2100098-G24</f>
        <v>0</v>
      </c>
    </row>
    <row r="35" spans="1:10" ht="15.75" thickTop="1" x14ac:dyDescent="0.25">
      <c r="A35" s="65"/>
      <c r="E35" s="451"/>
      <c r="F35" s="451"/>
      <c r="G35" s="451"/>
      <c r="H35" s="64"/>
      <c r="I35" s="64"/>
    </row>
    <row r="36" spans="1:10" s="31" customFormat="1" ht="16.5" thickBot="1" x14ac:dyDescent="0.3">
      <c r="A36" s="27" t="s">
        <v>43</v>
      </c>
      <c r="B36" s="110"/>
      <c r="E36" s="480"/>
      <c r="F36" s="480"/>
      <c r="G36" s="480"/>
      <c r="H36" s="111"/>
      <c r="I36" s="111" t="s">
        <v>0</v>
      </c>
      <c r="J36" s="72"/>
    </row>
    <row r="37" spans="1:10" s="469" customFormat="1" ht="38.25" customHeight="1" thickTop="1" thickBot="1" x14ac:dyDescent="0.25">
      <c r="A37" s="23" t="s">
        <v>260</v>
      </c>
      <c r="B37" s="12" t="s">
        <v>16</v>
      </c>
      <c r="C37" s="112" t="s">
        <v>74</v>
      </c>
      <c r="D37" s="112" t="s">
        <v>75</v>
      </c>
      <c r="E37" s="147" t="s">
        <v>415</v>
      </c>
      <c r="F37" s="147" t="s">
        <v>522</v>
      </c>
      <c r="G37" s="147" t="s">
        <v>423</v>
      </c>
      <c r="H37" s="789" t="s">
        <v>2</v>
      </c>
      <c r="I37" s="785" t="s">
        <v>338</v>
      </c>
      <c r="J37" s="21"/>
    </row>
    <row r="38" spans="1:10" s="467" customFormat="1" ht="12.75" thickTop="1" thickBot="1" x14ac:dyDescent="0.25">
      <c r="A38" s="13">
        <v>1</v>
      </c>
      <c r="B38" s="14">
        <v>2</v>
      </c>
      <c r="C38" s="15">
        <v>3</v>
      </c>
      <c r="D38" s="15">
        <v>4</v>
      </c>
      <c r="E38" s="15">
        <v>3</v>
      </c>
      <c r="F38" s="19">
        <v>4</v>
      </c>
      <c r="G38" s="489">
        <v>4</v>
      </c>
      <c r="H38" s="790" t="s">
        <v>339</v>
      </c>
      <c r="I38" s="16" t="s">
        <v>340</v>
      </c>
      <c r="J38" s="468"/>
    </row>
    <row r="39" spans="1:10" s="740" customFormat="1" ht="21" customHeight="1" thickTop="1" x14ac:dyDescent="0.2">
      <c r="A39" s="737">
        <v>8</v>
      </c>
      <c r="B39" s="741" t="s">
        <v>328</v>
      </c>
      <c r="C39" s="738"/>
      <c r="D39" s="738"/>
      <c r="E39" s="752">
        <f>SUM(E40:E42)</f>
        <v>572659</v>
      </c>
      <c r="F39" s="753"/>
      <c r="G39" s="757">
        <f>SUM(G40:G42)</f>
        <v>605326</v>
      </c>
      <c r="H39" s="791">
        <f t="shared" ref="H39:H43" si="10">G39/E39*100</f>
        <v>105.70444191045631</v>
      </c>
      <c r="I39" s="118">
        <f>G39-E39</f>
        <v>32667</v>
      </c>
      <c r="J39" s="739"/>
    </row>
    <row r="40" spans="1:10" s="746" customFormat="1" ht="43.5" customHeight="1" x14ac:dyDescent="0.2">
      <c r="A40" s="742"/>
      <c r="B40" s="743" t="s">
        <v>412</v>
      </c>
      <c r="C40" s="744">
        <v>818235</v>
      </c>
      <c r="D40" s="744">
        <v>530440</v>
      </c>
      <c r="E40" s="748">
        <v>374000</v>
      </c>
      <c r="F40" s="749">
        <f>SUM('[23]zůstatek na účtu'!$G$13)</f>
        <v>0</v>
      </c>
      <c r="G40" s="548">
        <v>850000</v>
      </c>
      <c r="H40" s="792">
        <f t="shared" si="10"/>
        <v>227.27272727272728</v>
      </c>
      <c r="I40" s="549">
        <f>G40-E40</f>
        <v>476000</v>
      </c>
      <c r="J40" s="745"/>
    </row>
    <row r="41" spans="1:10" s="68" customFormat="1" ht="33" customHeight="1" x14ac:dyDescent="0.2">
      <c r="A41" s="501"/>
      <c r="B41" s="787" t="s">
        <v>341</v>
      </c>
      <c r="C41" s="747"/>
      <c r="D41" s="747"/>
      <c r="E41" s="750">
        <v>470000</v>
      </c>
      <c r="F41" s="751"/>
      <c r="G41" s="550">
        <f>SUM('g) Financování'!G10)</f>
        <v>0</v>
      </c>
      <c r="H41" s="793"/>
      <c r="I41" s="549">
        <f t="shared" ref="I41:I42" si="11">G41-E41</f>
        <v>-470000</v>
      </c>
      <c r="J41" s="17"/>
    </row>
    <row r="42" spans="1:10" s="68" customFormat="1" ht="17.100000000000001" customHeight="1" x14ac:dyDescent="0.2">
      <c r="A42" s="505"/>
      <c r="B42" s="754" t="s">
        <v>329</v>
      </c>
      <c r="C42" s="755"/>
      <c r="D42" s="755"/>
      <c r="E42" s="750">
        <v>-271341</v>
      </c>
      <c r="F42" s="756"/>
      <c r="G42" s="786">
        <f>-SUM('g) Financování'!G29)</f>
        <v>-244674</v>
      </c>
      <c r="H42" s="794">
        <f t="shared" si="10"/>
        <v>90.172145013101584</v>
      </c>
      <c r="I42" s="549">
        <f t="shared" si="11"/>
        <v>26667</v>
      </c>
      <c r="J42" s="17"/>
    </row>
    <row r="43" spans="1:10" s="473" customFormat="1" ht="24.95" customHeight="1" thickBot="1" x14ac:dyDescent="0.3">
      <c r="A43" s="509"/>
      <c r="B43" s="510" t="s">
        <v>20</v>
      </c>
      <c r="C43" s="511" t="e">
        <f>C40+#REF!+#REF!</f>
        <v>#REF!</v>
      </c>
      <c r="D43" s="511" t="e">
        <f>D40+#REF!+#REF!</f>
        <v>#REF!</v>
      </c>
      <c r="E43" s="512">
        <f>SUM(E40:E42)</f>
        <v>572659</v>
      </c>
      <c r="F43" s="512">
        <f>SUM(F40:F42)</f>
        <v>0</v>
      </c>
      <c r="G43" s="512">
        <f>SUM(G40:G42)</f>
        <v>605326</v>
      </c>
      <c r="H43" s="795">
        <f t="shared" si="10"/>
        <v>105.70444191045631</v>
      </c>
      <c r="I43" s="788">
        <f>G43-E43</f>
        <v>32667</v>
      </c>
      <c r="J43" s="472"/>
    </row>
    <row r="44" spans="1:10" ht="7.5" customHeight="1" thickTop="1" x14ac:dyDescent="0.25">
      <c r="E44" s="451"/>
      <c r="F44" s="451"/>
      <c r="G44" s="451"/>
      <c r="I44" s="451"/>
    </row>
    <row r="45" spans="1:10" s="105" customFormat="1" ht="28.5" hidden="1" customHeight="1" x14ac:dyDescent="0.25">
      <c r="A45" s="103" t="s">
        <v>88</v>
      </c>
      <c r="B45" s="104"/>
      <c r="C45" s="104"/>
      <c r="D45" s="104"/>
      <c r="E45" s="457"/>
      <c r="F45" s="458" t="e">
        <f>SUM(F50)</f>
        <v>#REF!</v>
      </c>
      <c r="G45" s="458">
        <f>SUM(G50)</f>
        <v>0</v>
      </c>
      <c r="H45" s="103" t="s">
        <v>89</v>
      </c>
      <c r="I45" s="458" t="s">
        <v>89</v>
      </c>
      <c r="J45" s="106"/>
    </row>
    <row r="46" spans="1:10" ht="15.75" hidden="1" customHeight="1" x14ac:dyDescent="0.25">
      <c r="A46" s="1040" t="s">
        <v>247</v>
      </c>
      <c r="B46" s="1040"/>
      <c r="C46" s="1040"/>
      <c r="D46" s="1040"/>
      <c r="E46" s="1040"/>
      <c r="F46" s="1040"/>
      <c r="G46" s="1040"/>
      <c r="H46" s="1040"/>
      <c r="I46" s="451"/>
    </row>
    <row r="47" spans="1:10" ht="30" hidden="1" customHeight="1" x14ac:dyDescent="0.25">
      <c r="A47" s="1041"/>
      <c r="B47" s="1041"/>
      <c r="C47" s="1041"/>
      <c r="D47" s="1041"/>
      <c r="E47" s="1041"/>
      <c r="F47" s="1041"/>
      <c r="G47" s="1041"/>
      <c r="H47" s="1041"/>
      <c r="I47" s="451"/>
    </row>
    <row r="48" spans="1:10" ht="15.75" x14ac:dyDescent="0.25">
      <c r="B48" s="114" t="s">
        <v>44</v>
      </c>
      <c r="C48" s="115">
        <f>SUM(C11,C40:D41)</f>
        <v>5035483</v>
      </c>
      <c r="D48" s="115">
        <f>SUM(D11,D40:D41)</f>
        <v>4771995</v>
      </c>
      <c r="E48" s="459">
        <f>SUM(E11,E40:E41)</f>
        <v>8058949</v>
      </c>
      <c r="F48" s="459">
        <f>SUM(F11,F40:F41)</f>
        <v>6522376</v>
      </c>
      <c r="G48" s="459">
        <f>SUM(G11,G40:G41)</f>
        <v>8709108</v>
      </c>
      <c r="I48" s="451"/>
    </row>
    <row r="49" spans="2:7" ht="15.75" x14ac:dyDescent="0.25">
      <c r="B49" s="114" t="s">
        <v>45</v>
      </c>
      <c r="C49" s="115" t="e">
        <f>SUM(C34-#REF!)</f>
        <v>#REF!</v>
      </c>
      <c r="D49" s="115" t="e">
        <f>SUM(D34-#REF!)</f>
        <v>#REF!</v>
      </c>
      <c r="E49" s="459">
        <f>E34-E42</f>
        <v>8058949</v>
      </c>
      <c r="F49" s="459" t="e">
        <f>F34-F42-#REF!</f>
        <v>#REF!</v>
      </c>
      <c r="G49" s="459">
        <f>G34-G42</f>
        <v>8709108</v>
      </c>
    </row>
    <row r="50" spans="2:7" ht="15.75" x14ac:dyDescent="0.25">
      <c r="B50" s="114" t="s">
        <v>46</v>
      </c>
      <c r="C50" s="115" t="e">
        <f t="shared" ref="C50:D50" si="12">C49-C48</f>
        <v>#REF!</v>
      </c>
      <c r="D50" s="115" t="e">
        <f t="shared" si="12"/>
        <v>#REF!</v>
      </c>
      <c r="E50" s="459">
        <f>E49-E48</f>
        <v>0</v>
      </c>
      <c r="F50" s="459" t="e">
        <f>F48-F49</f>
        <v>#REF!</v>
      </c>
      <c r="G50" s="459">
        <f>G48-G49</f>
        <v>0</v>
      </c>
    </row>
    <row r="51" spans="2:7" x14ac:dyDescent="0.25">
      <c r="B51" s="116"/>
      <c r="C51" s="117"/>
      <c r="D51" s="117"/>
      <c r="E51" s="460"/>
      <c r="F51" s="460"/>
      <c r="G51" s="451"/>
    </row>
    <row r="52" spans="2:7" x14ac:dyDescent="0.25">
      <c r="E52" s="64"/>
    </row>
    <row r="53" spans="2:7" ht="15.75" x14ac:dyDescent="0.25">
      <c r="E53" s="77"/>
      <c r="F53" s="77"/>
      <c r="G53" s="128"/>
    </row>
    <row r="54" spans="2:7" ht="15.75" x14ac:dyDescent="0.25">
      <c r="E54" s="77"/>
      <c r="F54" s="77"/>
      <c r="G54" s="129"/>
    </row>
    <row r="55" spans="2:7" ht="15.75" x14ac:dyDescent="0.25">
      <c r="E55" s="77"/>
      <c r="F55" s="77"/>
      <c r="G55" s="129"/>
    </row>
    <row r="56" spans="2:7" ht="15.75" x14ac:dyDescent="0.25">
      <c r="E56" s="77"/>
      <c r="F56" s="77"/>
      <c r="G56" s="77"/>
    </row>
    <row r="57" spans="2:7" ht="15.75" x14ac:dyDescent="0.25">
      <c r="E57" s="77"/>
      <c r="F57" s="77"/>
      <c r="G57" s="77"/>
    </row>
  </sheetData>
  <mergeCells count="1">
    <mergeCell ref="A46:H47"/>
  </mergeCells>
  <pageMargins left="0.70866141732283472" right="0.70866141732283472" top="0.78740157480314965" bottom="0.78740157480314965" header="0.31496062992125984" footer="0.31496062992125984"/>
  <pageSetup paperSize="9" scale="58" firstPageNumber="9" orientation="portrait" useFirstPageNumber="1" r:id="rId1"/>
  <headerFooter>
    <oddFooter>&amp;LZastupitelstvo Olomouckého kraje 16. 12. 2024
9.2. - Rozpočet Olomouckého kraje 2024 - plnění rozpočtu k 30. 9. 2024
Příloha č. 01 usnesení: Bilance dle tříd&amp;RStrana &amp;P (celkem 9)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FFFF"/>
  </sheetPr>
  <dimension ref="A1:J73"/>
  <sheetViews>
    <sheetView showGridLines="0" view="pageBreakPreview" zoomScaleNormal="100" zoomScaleSheetLayoutView="100" workbookViewId="0">
      <selection activeCell="F18" sqref="F18"/>
    </sheetView>
  </sheetViews>
  <sheetFormatPr defaultColWidth="9.140625" defaultRowHeight="12.75" x14ac:dyDescent="0.2"/>
  <cols>
    <col min="1" max="1" width="5.7109375" style="469" customWidth="1"/>
    <col min="2" max="2" width="6.42578125" style="469" customWidth="1"/>
    <col min="3" max="3" width="49" style="469" customWidth="1"/>
    <col min="4" max="4" width="16.5703125" style="7" customWidth="1"/>
    <col min="5" max="5" width="17.7109375" style="469" customWidth="1"/>
    <col min="6" max="6" width="16.85546875" style="715" customWidth="1"/>
    <col min="7" max="7" width="9" style="733" customWidth="1"/>
    <col min="8" max="8" width="8" style="469" customWidth="1"/>
    <col min="9" max="9" width="17.28515625" style="469" customWidth="1"/>
    <col min="10" max="16384" width="9.140625" style="469"/>
  </cols>
  <sheetData>
    <row r="1" spans="1:8" s="7" customFormat="1" ht="20.25" x14ac:dyDescent="0.3">
      <c r="A1" s="1044" t="s">
        <v>421</v>
      </c>
      <c r="B1" s="1045"/>
      <c r="C1" s="1045"/>
      <c r="D1" s="1045"/>
      <c r="E1" s="1045"/>
      <c r="F1" s="1045"/>
      <c r="G1" s="664"/>
    </row>
    <row r="2" spans="1:8" s="7" customFormat="1" ht="9.75" customHeight="1" x14ac:dyDescent="0.3">
      <c r="A2" s="800"/>
      <c r="B2" s="801"/>
      <c r="C2" s="801"/>
      <c r="D2" s="865"/>
      <c r="E2" s="801"/>
      <c r="F2" s="801"/>
      <c r="G2" s="664"/>
    </row>
    <row r="3" spans="1:8" s="7" customFormat="1" ht="9.75" customHeight="1" x14ac:dyDescent="0.3">
      <c r="A3" s="800"/>
      <c r="B3" s="801"/>
      <c r="C3" s="801"/>
      <c r="D3" s="865"/>
      <c r="E3" s="801"/>
      <c r="F3" s="801"/>
      <c r="G3" s="664"/>
    </row>
    <row r="4" spans="1:8" s="7" customFormat="1" ht="16.5" thickBot="1" x14ac:dyDescent="0.3">
      <c r="A4" s="665" t="s">
        <v>36</v>
      </c>
      <c r="F4" s="666"/>
      <c r="G4" s="667" t="s">
        <v>96</v>
      </c>
    </row>
    <row r="5" spans="1:8" s="668" customFormat="1" ht="40.5" customHeight="1" thickTop="1" thickBot="1" x14ac:dyDescent="0.3">
      <c r="A5" s="410" t="s">
        <v>97</v>
      </c>
      <c r="B5" s="411" t="s">
        <v>98</v>
      </c>
      <c r="C5" s="412" t="s">
        <v>99</v>
      </c>
      <c r="D5" s="818" t="s">
        <v>415</v>
      </c>
      <c r="E5" s="818" t="s">
        <v>422</v>
      </c>
      <c r="F5" s="818" t="s">
        <v>423</v>
      </c>
      <c r="G5" s="148" t="s">
        <v>2</v>
      </c>
    </row>
    <row r="6" spans="1:8" s="669" customFormat="1" ht="13.5" thickTop="1" thickBot="1" x14ac:dyDescent="0.25">
      <c r="A6" s="414">
        <v>1</v>
      </c>
      <c r="B6" s="415">
        <v>2</v>
      </c>
      <c r="C6" s="415">
        <v>3</v>
      </c>
      <c r="D6" s="416">
        <v>4</v>
      </c>
      <c r="E6" s="416">
        <v>5</v>
      </c>
      <c r="F6" s="416">
        <v>6</v>
      </c>
      <c r="G6" s="417" t="s">
        <v>100</v>
      </c>
    </row>
    <row r="7" spans="1:8" s="672" customFormat="1" ht="27.75" customHeight="1" thickTop="1" x14ac:dyDescent="0.2">
      <c r="A7" s="819"/>
      <c r="B7" s="820">
        <v>1111</v>
      </c>
      <c r="C7" s="821" t="s">
        <v>351</v>
      </c>
      <c r="D7" s="822">
        <f>SUM([2]daně!C10)</f>
        <v>1028400</v>
      </c>
      <c r="E7" s="822">
        <f>[2]daně!D10</f>
        <v>1028400</v>
      </c>
      <c r="F7" s="823">
        <f>SUM([2]daně!J10)</f>
        <v>1100000</v>
      </c>
      <c r="G7" s="671">
        <f>F7/D7*100</f>
        <v>106.96227148969272</v>
      </c>
    </row>
    <row r="8" spans="1:8" s="672" customFormat="1" ht="30" customHeight="1" x14ac:dyDescent="0.2">
      <c r="A8" s="678"/>
      <c r="B8" s="824">
        <v>1112</v>
      </c>
      <c r="C8" s="825" t="s">
        <v>352</v>
      </c>
      <c r="D8" s="694">
        <f>SUM([2]daně!C11)</f>
        <v>69300</v>
      </c>
      <c r="E8" s="694">
        <f>[2]daně!D11</f>
        <v>69300</v>
      </c>
      <c r="F8" s="702">
        <f>SUM([2]daně!J11)</f>
        <v>70000</v>
      </c>
      <c r="G8" s="677">
        <f t="shared" ref="G8:G11" si="0">F8/D8*100</f>
        <v>101.01010101010101</v>
      </c>
    </row>
    <row r="9" spans="1:8" s="672" customFormat="1" ht="32.25" customHeight="1" x14ac:dyDescent="0.2">
      <c r="A9" s="678"/>
      <c r="B9" s="824">
        <v>1113</v>
      </c>
      <c r="C9" s="825" t="s">
        <v>410</v>
      </c>
      <c r="D9" s="694">
        <f>SUM([2]daně!C12)</f>
        <v>215800</v>
      </c>
      <c r="E9" s="694">
        <f>[2]daně!D12</f>
        <v>215800</v>
      </c>
      <c r="F9" s="702">
        <f>SUM([2]daně!J12)</f>
        <v>230000</v>
      </c>
      <c r="G9" s="677">
        <f t="shared" si="0"/>
        <v>106.58016682113067</v>
      </c>
    </row>
    <row r="10" spans="1:8" s="672" customFormat="1" ht="16.5" customHeight="1" x14ac:dyDescent="0.2">
      <c r="A10" s="687"/>
      <c r="B10" s="826">
        <v>1121</v>
      </c>
      <c r="C10" s="827" t="s">
        <v>353</v>
      </c>
      <c r="D10" s="690">
        <f>SUM([2]daně!C13)</f>
        <v>1517000</v>
      </c>
      <c r="E10" s="690">
        <f>[2]daně!D13</f>
        <v>1517000</v>
      </c>
      <c r="F10" s="828">
        <f>SUM([2]daně!J13)</f>
        <v>2000000</v>
      </c>
      <c r="G10" s="697">
        <f t="shared" si="0"/>
        <v>131.83915622940012</v>
      </c>
    </row>
    <row r="11" spans="1:8" s="68" customFormat="1" ht="17.100000000000001" customHeight="1" thickBot="1" x14ac:dyDescent="0.25">
      <c r="A11" s="679"/>
      <c r="B11" s="829">
        <v>1211</v>
      </c>
      <c r="C11" s="680" t="s">
        <v>354</v>
      </c>
      <c r="D11" s="830">
        <f>SUM([2]daně!C14)</f>
        <v>3669500</v>
      </c>
      <c r="E11" s="830">
        <f>[2]daně!D14</f>
        <v>3669500</v>
      </c>
      <c r="F11" s="702">
        <f>SUM([2]daně!J14)</f>
        <v>3700000</v>
      </c>
      <c r="G11" s="681">
        <f t="shared" si="0"/>
        <v>100.83117590952446</v>
      </c>
    </row>
    <row r="12" spans="1:8" s="686" customFormat="1" ht="17.100000000000001" customHeight="1" thickTop="1" thickBot="1" x14ac:dyDescent="0.25">
      <c r="A12" s="682" t="s">
        <v>552</v>
      </c>
      <c r="B12" s="683"/>
      <c r="C12" s="684"/>
      <c r="D12" s="831">
        <f>SUM(D7:D11)</f>
        <v>6500000</v>
      </c>
      <c r="E12" s="831">
        <f>SUM(E7:E11)</f>
        <v>6500000</v>
      </c>
      <c r="F12" s="832">
        <f>SUM(F7:F11)</f>
        <v>7100000</v>
      </c>
      <c r="G12" s="130">
        <f>F12/D12*100</f>
        <v>109.23076923076923</v>
      </c>
      <c r="H12" s="685"/>
    </row>
    <row r="13" spans="1:8" s="95" customFormat="1" ht="17.100000000000001" customHeight="1" thickTop="1" x14ac:dyDescent="0.2">
      <c r="A13" s="687" t="s">
        <v>101</v>
      </c>
      <c r="B13" s="688">
        <v>1361</v>
      </c>
      <c r="C13" s="689" t="s">
        <v>355</v>
      </c>
      <c r="D13" s="691">
        <f>SUM([2]odbory!D7)</f>
        <v>1190</v>
      </c>
      <c r="E13" s="691">
        <f>SUM([2]odbory!E7)</f>
        <v>1190</v>
      </c>
      <c r="F13" s="691">
        <f>SUM([2]odbory!F7)</f>
        <v>1330</v>
      </c>
      <c r="G13" s="703">
        <f t="shared" ref="G13:G21" si="1">F13/D13*100</f>
        <v>111.76470588235294</v>
      </c>
    </row>
    <row r="14" spans="1:8" s="95" customFormat="1" ht="30" customHeight="1" x14ac:dyDescent="0.2">
      <c r="A14" s="693">
        <v>6409</v>
      </c>
      <c r="B14" s="673">
        <v>2111</v>
      </c>
      <c r="C14" s="136" t="s">
        <v>356</v>
      </c>
      <c r="D14" s="695">
        <f>SUM([2]odbory!D8)</f>
        <v>1540</v>
      </c>
      <c r="E14" s="695">
        <f>SUM([2]odbory!E8)</f>
        <v>1539</v>
      </c>
      <c r="F14" s="695">
        <f>SUM([2]odbory!F8)</f>
        <v>265</v>
      </c>
      <c r="G14" s="677">
        <f t="shared" si="1"/>
        <v>17.20779220779221</v>
      </c>
    </row>
    <row r="15" spans="1:8" s="95" customFormat="1" ht="17.100000000000001" customHeight="1" x14ac:dyDescent="0.2">
      <c r="A15" s="692">
        <v>6172</v>
      </c>
      <c r="B15" s="688">
        <v>2119</v>
      </c>
      <c r="C15" s="689" t="s">
        <v>102</v>
      </c>
      <c r="D15" s="691">
        <f>SUM([2]odbory!D9)</f>
        <v>90</v>
      </c>
      <c r="E15" s="691">
        <f>SUM([2]odbory!E9)</f>
        <v>90</v>
      </c>
      <c r="F15" s="691">
        <f>SUM([2]odbory!F9)</f>
        <v>100</v>
      </c>
      <c r="G15" s="677">
        <f t="shared" si="1"/>
        <v>111.11111111111111</v>
      </c>
    </row>
    <row r="16" spans="1:8" s="95" customFormat="1" ht="17.100000000000001" customHeight="1" x14ac:dyDescent="0.2">
      <c r="A16" s="692">
        <v>6172</v>
      </c>
      <c r="B16" s="688">
        <v>2122</v>
      </c>
      <c r="C16" s="137" t="s">
        <v>357</v>
      </c>
      <c r="D16" s="691">
        <f>SUM([2]odbory!D10)</f>
        <v>254083</v>
      </c>
      <c r="E16" s="691">
        <f>[2]odbory!E10</f>
        <v>254083</v>
      </c>
      <c r="F16" s="691">
        <f>SUM([2]odbory!F10)</f>
        <v>246000</v>
      </c>
      <c r="G16" s="677">
        <f t="shared" si="1"/>
        <v>96.818756075770523</v>
      </c>
    </row>
    <row r="17" spans="1:9" s="95" customFormat="1" ht="17.100000000000001" customHeight="1" x14ac:dyDescent="0.2">
      <c r="A17" s="692">
        <v>1032</v>
      </c>
      <c r="B17" s="688">
        <v>2131</v>
      </c>
      <c r="C17" s="137" t="s">
        <v>358</v>
      </c>
      <c r="D17" s="691">
        <f>SUM([2]odbory!D11)</f>
        <v>25</v>
      </c>
      <c r="E17" s="691">
        <f>SUM([2]odbory!E11)</f>
        <v>25</v>
      </c>
      <c r="F17" s="691">
        <f>SUM([2]odbory!F11)</f>
        <v>25</v>
      </c>
      <c r="G17" s="677">
        <f t="shared" si="1"/>
        <v>100</v>
      </c>
      <c r="H17" s="100"/>
    </row>
    <row r="18" spans="1:9" s="95" customFormat="1" ht="17.100000000000001" customHeight="1" x14ac:dyDescent="0.2">
      <c r="A18" s="692">
        <v>6172</v>
      </c>
      <c r="B18" s="688">
        <v>2131</v>
      </c>
      <c r="C18" s="137" t="s">
        <v>358</v>
      </c>
      <c r="D18" s="691">
        <f>SUM([2]odbory!D12)</f>
        <v>223.3</v>
      </c>
      <c r="E18" s="691">
        <f>SUM([2]odbory!E12)</f>
        <v>223.3</v>
      </c>
      <c r="F18" s="691">
        <f>SUM([2]odbory!F12)</f>
        <v>221.3</v>
      </c>
      <c r="G18" s="677">
        <f t="shared" si="1"/>
        <v>99.104343931930146</v>
      </c>
    </row>
    <row r="19" spans="1:9" s="696" customFormat="1" ht="30" customHeight="1" x14ac:dyDescent="0.2">
      <c r="A19" s="693">
        <v>6172</v>
      </c>
      <c r="B19" s="673">
        <v>2132</v>
      </c>
      <c r="C19" s="133" t="s">
        <v>359</v>
      </c>
      <c r="D19" s="695">
        <f>SUM([2]odbory!D13)</f>
        <v>37699</v>
      </c>
      <c r="E19" s="695">
        <f>SUM([2]odbory!E13)</f>
        <v>37700</v>
      </c>
      <c r="F19" s="695">
        <f>SUM([2]odbory!F13)</f>
        <v>37853</v>
      </c>
      <c r="G19" s="677">
        <f t="shared" si="1"/>
        <v>100.40849889917504</v>
      </c>
      <c r="I19" s="838">
        <f>SUM(D14:D26,D30:D31,D35)</f>
        <v>440440.5</v>
      </c>
    </row>
    <row r="20" spans="1:9" s="696" customFormat="1" ht="16.5" customHeight="1" x14ac:dyDescent="0.2">
      <c r="A20" s="693">
        <v>6172</v>
      </c>
      <c r="B20" s="673">
        <v>2133</v>
      </c>
      <c r="C20" s="137" t="s">
        <v>360</v>
      </c>
      <c r="D20" s="691">
        <f>SUM([2]odbory!D14)</f>
        <v>142</v>
      </c>
      <c r="E20" s="691">
        <f>[2]odbory!E14</f>
        <v>142</v>
      </c>
      <c r="F20" s="691">
        <f>SUM([2]odbory!F14)</f>
        <v>120</v>
      </c>
      <c r="G20" s="677">
        <f t="shared" si="1"/>
        <v>84.507042253521121</v>
      </c>
    </row>
    <row r="21" spans="1:9" s="696" customFormat="1" ht="16.5" customHeight="1" x14ac:dyDescent="0.2">
      <c r="A21" s="693">
        <v>6172</v>
      </c>
      <c r="B21" s="673">
        <v>2211</v>
      </c>
      <c r="C21" s="133" t="s">
        <v>361</v>
      </c>
      <c r="D21" s="691">
        <f>SUM([2]odbory!D15)</f>
        <v>1400</v>
      </c>
      <c r="E21" s="691">
        <f>[2]odbory!E15</f>
        <v>1400</v>
      </c>
      <c r="F21" s="691">
        <f>SUM([2]odbory!F15)</f>
        <v>1500</v>
      </c>
      <c r="G21" s="677">
        <f t="shared" si="1"/>
        <v>107.14285714285714</v>
      </c>
    </row>
    <row r="22" spans="1:9" s="696" customFormat="1" ht="16.5" customHeight="1" x14ac:dyDescent="0.2">
      <c r="A22" s="693">
        <v>6172</v>
      </c>
      <c r="B22" s="673">
        <v>2212</v>
      </c>
      <c r="C22" s="137" t="s">
        <v>362</v>
      </c>
      <c r="D22" s="691">
        <f>SUM([2]odbory!D16)</f>
        <v>2210.2999999999997</v>
      </c>
      <c r="E22" s="691">
        <f>[2]odbory!E16</f>
        <v>2217.0499999999997</v>
      </c>
      <c r="F22" s="691">
        <f>SUM([2]odbory!F16)</f>
        <v>2310.2999999999997</v>
      </c>
      <c r="G22" s="677">
        <f>F22/D22*100</f>
        <v>104.52427272315975</v>
      </c>
    </row>
    <row r="23" spans="1:9" s="696" customFormat="1" ht="28.5" customHeight="1" x14ac:dyDescent="0.2">
      <c r="A23" s="134">
        <v>6172</v>
      </c>
      <c r="B23" s="135">
        <v>2310</v>
      </c>
      <c r="C23" s="136" t="s">
        <v>363</v>
      </c>
      <c r="D23" s="691">
        <f>[2]odbory!D17</f>
        <v>20</v>
      </c>
      <c r="E23" s="691">
        <f>[2]odbory!E17</f>
        <v>20</v>
      </c>
      <c r="F23" s="691">
        <f>[2]odbory!F17</f>
        <v>100</v>
      </c>
      <c r="G23" s="697">
        <f t="shared" ref="G23" si="2">F23/D23*100</f>
        <v>500</v>
      </c>
    </row>
    <row r="24" spans="1:9" s="836" customFormat="1" ht="16.5" customHeight="1" x14ac:dyDescent="0.2">
      <c r="A24" s="693">
        <v>6172</v>
      </c>
      <c r="B24" s="673">
        <v>2324</v>
      </c>
      <c r="C24" s="689" t="s">
        <v>364</v>
      </c>
      <c r="D24" s="691">
        <f>SUM([2]odbory!D18)</f>
        <v>810.30000000000007</v>
      </c>
      <c r="E24" s="691">
        <f>[2]odbory!E18</f>
        <v>1908.2999999999997</v>
      </c>
      <c r="F24" s="691">
        <f>SUM([2]odbory!F18)</f>
        <v>815.30000000000007</v>
      </c>
      <c r="G24" s="677">
        <f>F24/D24*100</f>
        <v>100.61705541157595</v>
      </c>
    </row>
    <row r="25" spans="1:9" s="95" customFormat="1" ht="16.5" customHeight="1" x14ac:dyDescent="0.2">
      <c r="A25" s="131">
        <v>6172</v>
      </c>
      <c r="B25" s="132">
        <v>2329</v>
      </c>
      <c r="C25" s="137" t="s">
        <v>104</v>
      </c>
      <c r="D25" s="698">
        <f>SUM([2]odbory!D19)</f>
        <v>1</v>
      </c>
      <c r="E25" s="691">
        <f>[2]odbory!E19</f>
        <v>1</v>
      </c>
      <c r="F25" s="698">
        <f>[2]odbory!F19</f>
        <v>5</v>
      </c>
      <c r="G25" s="677">
        <f>F25/D25*100</f>
        <v>500</v>
      </c>
    </row>
    <row r="26" spans="1:9" s="95" customFormat="1" ht="16.5" customHeight="1" x14ac:dyDescent="0.2">
      <c r="A26" s="693">
        <v>6172</v>
      </c>
      <c r="B26" s="673">
        <v>3111</v>
      </c>
      <c r="C26" s="137" t="s">
        <v>365</v>
      </c>
      <c r="D26" s="691">
        <f>SUM([2]odbory!D20)</f>
        <v>500</v>
      </c>
      <c r="E26" s="695">
        <f>[2]odbory!E20</f>
        <v>500</v>
      </c>
      <c r="F26" s="691">
        <f>SUM([2]odbory!F20)</f>
        <v>150</v>
      </c>
      <c r="G26" s="699">
        <f t="shared" ref="G26:G34" si="3">F26/D26*100</f>
        <v>30</v>
      </c>
    </row>
    <row r="27" spans="1:9" s="696" customFormat="1" ht="27.75" customHeight="1" x14ac:dyDescent="0.2">
      <c r="A27" s="693">
        <v>6172</v>
      </c>
      <c r="B27" s="673">
        <v>3112</v>
      </c>
      <c r="C27" s="136" t="s">
        <v>366</v>
      </c>
      <c r="D27" s="691">
        <f>SUM([2]odbory!D21)</f>
        <v>9500</v>
      </c>
      <c r="E27" s="691">
        <f>[2]odbory!E21</f>
        <v>9500</v>
      </c>
      <c r="F27" s="691">
        <f>SUM([2]odbory!F21)</f>
        <v>7000</v>
      </c>
      <c r="G27" s="697">
        <f t="shared" si="3"/>
        <v>73.68421052631578</v>
      </c>
    </row>
    <row r="28" spans="1:9" s="696" customFormat="1" ht="24.75" customHeight="1" x14ac:dyDescent="0.25">
      <c r="A28" s="134">
        <v>6172</v>
      </c>
      <c r="B28" s="135">
        <v>3113</v>
      </c>
      <c r="C28" s="136" t="s">
        <v>367</v>
      </c>
      <c r="D28" s="695">
        <f>[2]odbory!D22</f>
        <v>10</v>
      </c>
      <c r="E28" s="695">
        <f>[2]odbory!E22</f>
        <v>10</v>
      </c>
      <c r="F28" s="695">
        <f>[2]odbory!F22</f>
        <v>90</v>
      </c>
      <c r="G28" s="677">
        <f t="shared" si="3"/>
        <v>900</v>
      </c>
    </row>
    <row r="29" spans="1:9" s="836" customFormat="1" ht="19.5" customHeight="1" x14ac:dyDescent="0.2">
      <c r="A29" s="692">
        <v>6310</v>
      </c>
      <c r="B29" s="688">
        <v>2141</v>
      </c>
      <c r="C29" s="827" t="s">
        <v>368</v>
      </c>
      <c r="D29" s="691">
        <f>SUM([2]odbory!D23)</f>
        <v>29697.5</v>
      </c>
      <c r="E29" s="691">
        <f>[2]odbory!E23</f>
        <v>29697.5</v>
      </c>
      <c r="F29" s="691">
        <f>SUM([2]odbory!F23)</f>
        <v>30164.1</v>
      </c>
      <c r="G29" s="882">
        <f>F29/D29*100</f>
        <v>101.57117602491792</v>
      </c>
    </row>
    <row r="30" spans="1:9" s="95" customFormat="1" ht="31.5" customHeight="1" x14ac:dyDescent="0.2">
      <c r="A30" s="693"/>
      <c r="B30" s="673">
        <v>2420</v>
      </c>
      <c r="C30" s="674" t="s">
        <v>105</v>
      </c>
      <c r="D30" s="695">
        <f>SUM([2]odbory!H236)</f>
        <v>1293</v>
      </c>
      <c r="E30" s="695">
        <f>SUM([2]odbory!I236)</f>
        <v>1293</v>
      </c>
      <c r="F30" s="695">
        <f>SUM([2]odbory!F24)</f>
        <v>0</v>
      </c>
      <c r="G30" s="677"/>
    </row>
    <row r="31" spans="1:9" s="696" customFormat="1" ht="30" customHeight="1" x14ac:dyDescent="0.25">
      <c r="A31" s="635"/>
      <c r="B31" s="700">
        <v>4112</v>
      </c>
      <c r="C31" s="701" t="s">
        <v>369</v>
      </c>
      <c r="D31" s="702">
        <v>140403.6</v>
      </c>
      <c r="E31" s="702">
        <v>140403.6</v>
      </c>
      <c r="F31" s="702">
        <v>141578</v>
      </c>
      <c r="G31" s="703">
        <f t="shared" si="3"/>
        <v>100.8364457891393</v>
      </c>
    </row>
    <row r="32" spans="1:9" s="696" customFormat="1" ht="27.75" customHeight="1" x14ac:dyDescent="0.2">
      <c r="A32" s="635"/>
      <c r="B32" s="700">
        <v>4121</v>
      </c>
      <c r="C32" s="137" t="s">
        <v>370</v>
      </c>
      <c r="D32" s="702">
        <f>SUM([2]odbory!D25)</f>
        <v>101479</v>
      </c>
      <c r="E32" s="702">
        <f>SUM([2]odbory!E25)</f>
        <v>101479</v>
      </c>
      <c r="F32" s="702">
        <f>SUM([2]odbory!F25)</f>
        <v>130000</v>
      </c>
      <c r="G32" s="703">
        <f t="shared" si="3"/>
        <v>128.10532228342811</v>
      </c>
    </row>
    <row r="33" spans="1:10" s="95" customFormat="1" ht="25.5" customHeight="1" thickBot="1" x14ac:dyDescent="0.25">
      <c r="A33" s="635"/>
      <c r="B33" s="700">
        <v>4122</v>
      </c>
      <c r="C33" s="133" t="s">
        <v>371</v>
      </c>
      <c r="D33" s="702">
        <f>SUM([2]odbory!D26)</f>
        <v>98521</v>
      </c>
      <c r="E33" s="702">
        <f>SUM([2]odbory!E26)</f>
        <v>98521</v>
      </c>
      <c r="F33" s="702">
        <f>SUM([2]odbory!F26)</f>
        <v>125000</v>
      </c>
      <c r="G33" s="703">
        <f t="shared" si="3"/>
        <v>126.87650348656632</v>
      </c>
      <c r="I33" s="100"/>
    </row>
    <row r="34" spans="1:10" s="643" customFormat="1" ht="27.75" customHeight="1" thickTop="1" thickBot="1" x14ac:dyDescent="0.3">
      <c r="A34" s="1046" t="s">
        <v>106</v>
      </c>
      <c r="B34" s="1047"/>
      <c r="C34" s="1047"/>
      <c r="D34" s="705">
        <f>SUM(D12:D33)</f>
        <v>7180837.9999999991</v>
      </c>
      <c r="E34" s="705">
        <f>SUM(E12:E33)</f>
        <v>7181942.7499999991</v>
      </c>
      <c r="F34" s="705">
        <f>SUM(F12:F33)</f>
        <v>7824626.9999999991</v>
      </c>
      <c r="G34" s="706">
        <f t="shared" si="3"/>
        <v>108.96537423626602</v>
      </c>
      <c r="I34" s="704"/>
    </row>
    <row r="35" spans="1:10" s="802" customFormat="1" ht="17.25" customHeight="1" thickTop="1" x14ac:dyDescent="0.2">
      <c r="A35" s="7"/>
      <c r="B35" s="7"/>
      <c r="C35" s="7"/>
      <c r="D35" s="833"/>
      <c r="E35" s="833"/>
      <c r="F35" s="834"/>
      <c r="G35" s="708"/>
      <c r="I35" s="837"/>
    </row>
    <row r="36" spans="1:10" s="643" customFormat="1" ht="20.25" customHeight="1" thickBot="1" x14ac:dyDescent="0.3">
      <c r="A36" s="665" t="s">
        <v>107</v>
      </c>
      <c r="B36" s="7"/>
      <c r="C36" s="7"/>
      <c r="D36" s="833"/>
      <c r="E36" s="833"/>
      <c r="F36" s="834"/>
      <c r="G36" s="667" t="s">
        <v>96</v>
      </c>
      <c r="I36" s="704"/>
    </row>
    <row r="37" spans="1:10" ht="33" customHeight="1" thickTop="1" thickBot="1" x14ac:dyDescent="0.25">
      <c r="A37" s="709" t="s">
        <v>97</v>
      </c>
      <c r="B37" s="710" t="s">
        <v>108</v>
      </c>
      <c r="C37" s="711" t="s">
        <v>109</v>
      </c>
      <c r="D37" s="818" t="s">
        <v>415</v>
      </c>
      <c r="E37" s="818" t="s">
        <v>422</v>
      </c>
      <c r="F37" s="818" t="s">
        <v>423</v>
      </c>
      <c r="G37" s="148" t="s">
        <v>2</v>
      </c>
      <c r="H37" s="7"/>
      <c r="I37" s="707"/>
      <c r="J37" s="707"/>
    </row>
    <row r="38" spans="1:10" ht="14.25" thickTop="1" thickBot="1" x14ac:dyDescent="0.25">
      <c r="A38" s="709">
        <v>1</v>
      </c>
      <c r="B38" s="711">
        <v>2</v>
      </c>
      <c r="C38" s="711">
        <v>3</v>
      </c>
      <c r="D38" s="416">
        <v>4</v>
      </c>
      <c r="E38" s="416">
        <v>5</v>
      </c>
      <c r="F38" s="416">
        <v>6</v>
      </c>
      <c r="G38" s="417" t="s">
        <v>100</v>
      </c>
      <c r="H38" s="7"/>
    </row>
    <row r="39" spans="1:10" s="7" customFormat="1" ht="15" thickTop="1" x14ac:dyDescent="0.2">
      <c r="A39" s="692">
        <v>6310</v>
      </c>
      <c r="B39" s="688">
        <v>2141</v>
      </c>
      <c r="C39" s="689" t="s">
        <v>368</v>
      </c>
      <c r="D39" s="712">
        <v>80</v>
      </c>
      <c r="E39" s="675">
        <v>80</v>
      </c>
      <c r="F39" s="712">
        <v>150</v>
      </c>
      <c r="G39" s="677">
        <f>F39/D39*100</f>
        <v>187.5</v>
      </c>
    </row>
    <row r="40" spans="1:10" s="668" customFormat="1" ht="14.25" x14ac:dyDescent="0.2">
      <c r="A40" s="692">
        <v>6113</v>
      </c>
      <c r="B40" s="688">
        <v>2324</v>
      </c>
      <c r="C40" s="689" t="s">
        <v>364</v>
      </c>
      <c r="D40" s="712">
        <v>1</v>
      </c>
      <c r="E40" s="675">
        <v>1</v>
      </c>
      <c r="F40" s="712">
        <v>1</v>
      </c>
      <c r="G40" s="677">
        <f>F40/D40*100</f>
        <v>100</v>
      </c>
    </row>
    <row r="41" spans="1:10" s="669" customFormat="1" ht="14.25" x14ac:dyDescent="0.2">
      <c r="A41" s="692">
        <v>6172</v>
      </c>
      <c r="B41" s="688">
        <v>2324</v>
      </c>
      <c r="C41" s="689" t="s">
        <v>364</v>
      </c>
      <c r="D41" s="712">
        <v>30</v>
      </c>
      <c r="E41" s="675">
        <v>30</v>
      </c>
      <c r="F41" s="712">
        <v>30</v>
      </c>
      <c r="G41" s="677">
        <f t="shared" ref="G41" si="4">F41/D41*100</f>
        <v>100</v>
      </c>
    </row>
    <row r="42" spans="1:10" s="696" customFormat="1" ht="15" thickBot="1" x14ac:dyDescent="0.3">
      <c r="A42" s="713">
        <v>6330</v>
      </c>
      <c r="B42" s="673">
        <v>4134</v>
      </c>
      <c r="C42" s="674" t="s">
        <v>110</v>
      </c>
      <c r="D42" s="712">
        <v>11679</v>
      </c>
      <c r="E42" s="675">
        <v>11772</v>
      </c>
      <c r="F42" s="712">
        <v>13236</v>
      </c>
      <c r="G42" s="677">
        <f>F42/D42*100</f>
        <v>113.33162085795017</v>
      </c>
    </row>
    <row r="43" spans="1:10" s="696" customFormat="1" ht="17.25" thickTop="1" thickBot="1" x14ac:dyDescent="0.3">
      <c r="A43" s="1046" t="s">
        <v>106</v>
      </c>
      <c r="B43" s="1047"/>
      <c r="C43" s="1047"/>
      <c r="D43" s="705">
        <f>SUM(D39:D42)</f>
        <v>11790</v>
      </c>
      <c r="E43" s="705">
        <f>SUM(E39:E42)</f>
        <v>11883</v>
      </c>
      <c r="F43" s="705">
        <f>SUM(F39:F42)</f>
        <v>13417</v>
      </c>
      <c r="G43" s="706">
        <f>F43/D43*100</f>
        <v>113.79983036471586</v>
      </c>
    </row>
    <row r="44" spans="1:10" s="696" customFormat="1" ht="15" thickTop="1" x14ac:dyDescent="0.2">
      <c r="A44" s="7"/>
      <c r="B44" s="7"/>
      <c r="C44" s="7"/>
      <c r="D44" s="833"/>
      <c r="E44" s="833"/>
      <c r="F44" s="834"/>
      <c r="G44" s="708"/>
    </row>
    <row r="45" spans="1:10" s="7" customFormat="1" ht="14.25" customHeight="1" thickBot="1" x14ac:dyDescent="0.3">
      <c r="A45" s="1048" t="s">
        <v>111</v>
      </c>
      <c r="B45" s="1048"/>
      <c r="C45" s="1048"/>
      <c r="D45" s="1048"/>
      <c r="E45" s="1048"/>
      <c r="F45" s="1048"/>
      <c r="G45" s="667" t="s">
        <v>96</v>
      </c>
    </row>
    <row r="46" spans="1:10" s="7" customFormat="1" ht="37.5" customHeight="1" thickTop="1" thickBot="1" x14ac:dyDescent="0.25">
      <c r="A46" s="709" t="s">
        <v>97</v>
      </c>
      <c r="B46" s="710" t="s">
        <v>108</v>
      </c>
      <c r="C46" s="711" t="s">
        <v>109</v>
      </c>
      <c r="D46" s="818" t="s">
        <v>415</v>
      </c>
      <c r="E46" s="818" t="s">
        <v>422</v>
      </c>
      <c r="F46" s="818" t="s">
        <v>423</v>
      </c>
      <c r="G46" s="148" t="s">
        <v>2</v>
      </c>
    </row>
    <row r="47" spans="1:10" s="7" customFormat="1" ht="11.25" customHeight="1" thickTop="1" thickBot="1" x14ac:dyDescent="0.25">
      <c r="A47" s="709">
        <v>1</v>
      </c>
      <c r="B47" s="711">
        <v>2</v>
      </c>
      <c r="C47" s="711">
        <v>3</v>
      </c>
      <c r="D47" s="416">
        <v>4</v>
      </c>
      <c r="E47" s="416">
        <v>5</v>
      </c>
      <c r="F47" s="416">
        <v>6</v>
      </c>
      <c r="G47" s="417" t="s">
        <v>100</v>
      </c>
    </row>
    <row r="48" spans="1:10" s="7" customFormat="1" ht="19.5" customHeight="1" thickTop="1" x14ac:dyDescent="0.2">
      <c r="A48" s="716"/>
      <c r="B48" s="717">
        <v>1332</v>
      </c>
      <c r="C48" s="718" t="s">
        <v>112</v>
      </c>
      <c r="D48" s="670">
        <v>4000</v>
      </c>
      <c r="E48" s="719">
        <v>4000</v>
      </c>
      <c r="F48" s="670">
        <v>4000</v>
      </c>
      <c r="G48" s="671">
        <f>F48/D48*100</f>
        <v>100</v>
      </c>
    </row>
    <row r="49" spans="1:10" s="668" customFormat="1" ht="15.75" customHeight="1" x14ac:dyDescent="0.2">
      <c r="A49" s="692"/>
      <c r="B49" s="688">
        <v>1357</v>
      </c>
      <c r="C49" s="689" t="s">
        <v>113</v>
      </c>
      <c r="D49" s="712">
        <v>30000</v>
      </c>
      <c r="E49" s="675">
        <v>30000</v>
      </c>
      <c r="F49" s="712">
        <v>30000</v>
      </c>
      <c r="G49" s="677">
        <f t="shared" ref="G49" si="5">F49/D49*100</f>
        <v>100</v>
      </c>
    </row>
    <row r="50" spans="1:10" s="669" customFormat="1" ht="15" thickBot="1" x14ac:dyDescent="0.25">
      <c r="A50" s="692">
        <v>6172</v>
      </c>
      <c r="B50" s="688">
        <v>2212</v>
      </c>
      <c r="C50" s="689" t="s">
        <v>103</v>
      </c>
      <c r="D50" s="712"/>
      <c r="E50" s="675"/>
      <c r="F50" s="676">
        <v>300</v>
      </c>
      <c r="G50" s="677"/>
    </row>
    <row r="51" spans="1:10" s="696" customFormat="1" ht="17.25" thickTop="1" thickBot="1" x14ac:dyDescent="0.3">
      <c r="A51" s="1046" t="s">
        <v>106</v>
      </c>
      <c r="B51" s="1047"/>
      <c r="C51" s="1047"/>
      <c r="D51" s="705">
        <f>SUM(D48:D50)</f>
        <v>34000</v>
      </c>
      <c r="E51" s="705">
        <f>SUM(E48:E50)</f>
        <v>34000</v>
      </c>
      <c r="F51" s="705">
        <f>SUM(F48:F50)</f>
        <v>34300</v>
      </c>
      <c r="G51" s="706">
        <f>F51/D51*100</f>
        <v>100.88235294117646</v>
      </c>
    </row>
    <row r="52" spans="1:10" s="696" customFormat="1" ht="15" thickTop="1" x14ac:dyDescent="0.2">
      <c r="A52" s="7"/>
      <c r="B52" s="7"/>
      <c r="C52" s="7"/>
      <c r="D52" s="833"/>
      <c r="E52" s="833"/>
      <c r="F52" s="834"/>
      <c r="G52" s="721"/>
    </row>
    <row r="53" spans="1:10" s="696" customFormat="1" ht="15" customHeight="1" thickBot="1" x14ac:dyDescent="0.3">
      <c r="A53" s="723" t="s">
        <v>14</v>
      </c>
      <c r="B53" s="723"/>
      <c r="C53" s="723"/>
      <c r="D53" s="724">
        <f>SUM(D51,D43,D34)</f>
        <v>7226627.9999999991</v>
      </c>
      <c r="E53" s="724">
        <f>SUM(E51,E43,E34)</f>
        <v>7227825.7499999991</v>
      </c>
      <c r="F53" s="724">
        <f>SUM(F51,F43,F34)</f>
        <v>7872343.9999999991</v>
      </c>
      <c r="G53" s="725">
        <f>F53/D53*100</f>
        <v>108.93523231028357</v>
      </c>
    </row>
    <row r="54" spans="1:10" ht="15" thickTop="1" x14ac:dyDescent="0.2">
      <c r="A54" s="7"/>
      <c r="B54" s="7"/>
      <c r="C54" s="7"/>
      <c r="D54" s="21"/>
      <c r="E54" s="21"/>
      <c r="F54" s="835"/>
      <c r="G54" s="708"/>
      <c r="H54" s="7"/>
      <c r="J54" s="722"/>
    </row>
    <row r="55" spans="1:10" s="720" customFormat="1" ht="27.75" customHeight="1" x14ac:dyDescent="0.2">
      <c r="A55" s="7"/>
      <c r="B55" s="7"/>
      <c r="C55" s="7"/>
      <c r="D55" s="21"/>
      <c r="E55" s="21"/>
      <c r="F55" s="835"/>
      <c r="G55" s="708"/>
      <c r="H55" s="714"/>
    </row>
    <row r="56" spans="1:10" ht="21.75" customHeight="1" x14ac:dyDescent="0.2">
      <c r="A56" s="7"/>
      <c r="B56" s="7"/>
      <c r="C56" s="7"/>
      <c r="D56" s="21"/>
      <c r="E56" s="21"/>
      <c r="F56" s="835"/>
      <c r="G56" s="708"/>
      <c r="H56" s="7"/>
    </row>
    <row r="57" spans="1:10" ht="14.25" customHeight="1" x14ac:dyDescent="0.2">
      <c r="A57" s="726" t="s">
        <v>114</v>
      </c>
      <c r="B57" s="7"/>
      <c r="C57" s="7"/>
      <c r="D57" s="21"/>
      <c r="E57" s="21"/>
      <c r="F57" s="835"/>
      <c r="G57" s="708"/>
      <c r="H57" s="7"/>
    </row>
    <row r="58" spans="1:10" ht="14.25" customHeight="1" x14ac:dyDescent="0.25">
      <c r="A58" s="727" t="s">
        <v>14</v>
      </c>
      <c r="B58" s="727"/>
      <c r="C58" s="727"/>
      <c r="D58" s="728">
        <f>SUM(D53)</f>
        <v>7226627.9999999991</v>
      </c>
      <c r="E58" s="728">
        <f>SUM(E53)</f>
        <v>7227825.7499999991</v>
      </c>
      <c r="F58" s="728">
        <f>SUM(F53)</f>
        <v>7872343.9999999991</v>
      </c>
      <c r="G58" s="729">
        <f>F58/D58*100</f>
        <v>108.93523231028357</v>
      </c>
      <c r="H58" s="7"/>
    </row>
    <row r="59" spans="1:10" ht="14.25" x14ac:dyDescent="0.2">
      <c r="A59" s="95" t="s">
        <v>15</v>
      </c>
      <c r="B59" s="95"/>
      <c r="C59" s="95"/>
      <c r="D59" s="100">
        <f>-D42</f>
        <v>-11679</v>
      </c>
      <c r="E59" s="100">
        <f>-E42</f>
        <v>-11772</v>
      </c>
      <c r="F59" s="100">
        <f>-F42</f>
        <v>-13236</v>
      </c>
      <c r="G59" s="730">
        <f>F59/D59*100</f>
        <v>113.33162085795017</v>
      </c>
      <c r="H59" s="7"/>
    </row>
    <row r="60" spans="1:10" ht="29.25" customHeight="1" thickBot="1" x14ac:dyDescent="0.3">
      <c r="A60" s="1049" t="s">
        <v>115</v>
      </c>
      <c r="B60" s="1049"/>
      <c r="C60" s="1049"/>
      <c r="D60" s="731">
        <f>D58+D59</f>
        <v>7214948.9999999991</v>
      </c>
      <c r="E60" s="731">
        <f>E58+E59</f>
        <v>7216053.7499999991</v>
      </c>
      <c r="F60" s="731">
        <f>F58+F59</f>
        <v>7859107.9999999991</v>
      </c>
      <c r="G60" s="732">
        <f>F60/D60*100</f>
        <v>108.92811577739496</v>
      </c>
      <c r="H60" s="7"/>
    </row>
    <row r="61" spans="1:10" s="7" customFormat="1" ht="14.25" hidden="1" customHeight="1" thickTop="1" x14ac:dyDescent="0.2">
      <c r="A61" s="1042" t="s">
        <v>116</v>
      </c>
      <c r="B61" s="1042"/>
      <c r="C61" s="1042"/>
      <c r="D61" s="1042"/>
      <c r="E61" s="1042"/>
      <c r="F61" s="1042"/>
      <c r="G61" s="1042"/>
    </row>
    <row r="62" spans="1:10" s="7" customFormat="1" ht="14.25" hidden="1" customHeight="1" thickBot="1" x14ac:dyDescent="0.25">
      <c r="D62" s="833"/>
      <c r="E62" s="833"/>
      <c r="F62" s="834"/>
      <c r="G62" s="708"/>
    </row>
    <row r="63" spans="1:10" s="7" customFormat="1" ht="12.75" customHeight="1" thickTop="1" x14ac:dyDescent="0.2">
      <c r="D63" s="833"/>
      <c r="E63" s="833"/>
      <c r="F63" s="834"/>
      <c r="G63" s="708"/>
      <c r="H63" s="39"/>
    </row>
    <row r="64" spans="1:10" s="7" customFormat="1" x14ac:dyDescent="0.2">
      <c r="A64" s="1043" t="s">
        <v>117</v>
      </c>
      <c r="B64" s="1043"/>
      <c r="C64" s="1043"/>
      <c r="D64" s="1043"/>
      <c r="E64" s="1043"/>
      <c r="F64" s="1043"/>
      <c r="G64" s="1043"/>
      <c r="H64" s="39"/>
    </row>
    <row r="65" spans="1:8" s="7" customFormat="1" x14ac:dyDescent="0.2">
      <c r="A65" s="1043"/>
      <c r="B65" s="1043"/>
      <c r="C65" s="1043"/>
      <c r="D65" s="1043"/>
      <c r="E65" s="1043"/>
      <c r="F65" s="1043"/>
      <c r="G65" s="1043"/>
      <c r="H65" s="39"/>
    </row>
    <row r="66" spans="1:8" s="7" customFormat="1" x14ac:dyDescent="0.2">
      <c r="D66" s="833"/>
      <c r="E66" s="833"/>
      <c r="F66" s="834"/>
      <c r="G66" s="664"/>
      <c r="H66" s="39"/>
    </row>
    <row r="67" spans="1:8" ht="14.25" x14ac:dyDescent="0.2">
      <c r="A67" s="7"/>
      <c r="B67" s="7"/>
      <c r="C67" s="813" t="s">
        <v>372</v>
      </c>
      <c r="D67" s="817">
        <f>SUM(D12,D13,D48:D49)</f>
        <v>6535190</v>
      </c>
      <c r="E67" s="817">
        <f t="shared" ref="E67:F67" si="6">SUM(E12,E13,E48:E49)</f>
        <v>6535190</v>
      </c>
      <c r="F67" s="817">
        <f t="shared" si="6"/>
        <v>7135330</v>
      </c>
      <c r="G67" s="664"/>
    </row>
    <row r="68" spans="1:8" ht="14.25" x14ac:dyDescent="0.2">
      <c r="C68" s="813" t="s">
        <v>325</v>
      </c>
      <c r="D68" s="817">
        <f>SUM(D14:D25,D29,D30,D39:D41,D50)</f>
        <v>329345.39999999997</v>
      </c>
      <c r="E68" s="817">
        <f t="shared" ref="E68:F68" si="7">SUM(E14:E25,E29,E30,E39:E41,E50)</f>
        <v>330450.14999999997</v>
      </c>
      <c r="F68" s="817">
        <f t="shared" si="7"/>
        <v>319959.99999999994</v>
      </c>
    </row>
    <row r="69" spans="1:8" ht="14.25" x14ac:dyDescent="0.2">
      <c r="C69" s="813" t="s">
        <v>326</v>
      </c>
      <c r="D69" s="817">
        <f>SUM(D26:D28)</f>
        <v>10010</v>
      </c>
      <c r="E69" s="817">
        <f t="shared" ref="E69:F69" si="8">SUM(E26:E28)</f>
        <v>10010</v>
      </c>
      <c r="F69" s="817">
        <f t="shared" si="8"/>
        <v>7240</v>
      </c>
    </row>
    <row r="70" spans="1:8" ht="14.25" x14ac:dyDescent="0.2">
      <c r="C70" s="814" t="s">
        <v>327</v>
      </c>
      <c r="D70" s="817">
        <f>SUM(D31:D33,D42)</f>
        <v>352082.6</v>
      </c>
      <c r="E70" s="817">
        <f t="shared" ref="E70:F70" si="9">SUM(E31:E33,E42)</f>
        <v>352175.6</v>
      </c>
      <c r="F70" s="817">
        <f t="shared" si="9"/>
        <v>409814</v>
      </c>
    </row>
    <row r="71" spans="1:8" ht="15.75" x14ac:dyDescent="0.25">
      <c r="C71" s="815" t="s">
        <v>14</v>
      </c>
      <c r="D71" s="839">
        <f>SUM(D67:D70)</f>
        <v>7226628</v>
      </c>
      <c r="E71" s="839">
        <f t="shared" ref="E71:F71" si="10">SUM(E67:E70)</f>
        <v>7227825.75</v>
      </c>
      <c r="F71" s="839">
        <f t="shared" si="10"/>
        <v>7872344</v>
      </c>
    </row>
    <row r="72" spans="1:8" ht="14.25" x14ac:dyDescent="0.2">
      <c r="C72" s="813" t="s">
        <v>15</v>
      </c>
      <c r="D72" s="841">
        <v>-11679</v>
      </c>
      <c r="E72" s="841">
        <f>SUM(E59)</f>
        <v>-11772</v>
      </c>
      <c r="F72" s="841">
        <f>SUM(F59)</f>
        <v>-13236</v>
      </c>
    </row>
    <row r="73" spans="1:8" ht="30" x14ac:dyDescent="0.25">
      <c r="C73" s="816" t="s">
        <v>19</v>
      </c>
      <c r="D73" s="840">
        <f>SUM(D71:D72)</f>
        <v>7214949</v>
      </c>
      <c r="E73" s="840">
        <f t="shared" ref="E73:F73" si="11">SUM(E71:E72)</f>
        <v>7216053.75</v>
      </c>
      <c r="F73" s="840">
        <f t="shared" si="11"/>
        <v>7859108</v>
      </c>
    </row>
  </sheetData>
  <mergeCells count="8">
    <mergeCell ref="A61:G61"/>
    <mergeCell ref="A64:G65"/>
    <mergeCell ref="A1:F1"/>
    <mergeCell ref="A34:C34"/>
    <mergeCell ref="A43:C43"/>
    <mergeCell ref="A45:F45"/>
    <mergeCell ref="A51:C51"/>
    <mergeCell ref="A60:C60"/>
  </mergeCells>
  <pageMargins left="0.78740157480314965" right="0.78740157480314965" top="0.98425196850393704" bottom="0.98425196850393704" header="0.51181102362204722" footer="0.51181102362204722"/>
  <pageSetup paperSize="9" scale="66" firstPageNumber="9" orientation="portrait" useFirstPageNumber="1" r:id="rId1"/>
  <headerFooter alignWithMargins="0">
    <oddFooter>&amp;L&amp;"Arial,Kurzíva"Zastupitelstvo Olomouckého kraje 11.12.2023
2.1. - Rozpočet Olomouckého kraje na rok 2024 - návrh rozpočtu
Příloha č. 1: Návrh rozpočtu OK na rok 2024 (bilance) - zkrácená verze&amp;R&amp;"Arial,Kurzíva"Strana &amp;P (Celkem 216)</oddFooter>
  </headerFooter>
  <rowBreaks count="1" manualBreakCount="1">
    <brk id="54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FFFF"/>
  </sheetPr>
  <dimension ref="A1:N231"/>
  <sheetViews>
    <sheetView showGridLines="0" view="pageBreakPreview" topLeftCell="A40" zoomScaleNormal="100" zoomScaleSheetLayoutView="100" workbookViewId="0">
      <selection activeCell="F18" sqref="F18"/>
    </sheetView>
  </sheetViews>
  <sheetFormatPr defaultColWidth="9.140625" defaultRowHeight="12.75" x14ac:dyDescent="0.2"/>
  <cols>
    <col min="1" max="1" width="9.140625" style="139"/>
    <col min="2" max="2" width="42.42578125" style="139" customWidth="1"/>
    <col min="3" max="3" width="4.28515625" style="139" customWidth="1"/>
    <col min="4" max="5" width="15.7109375" style="140" hidden="1" customWidth="1"/>
    <col min="6" max="6" width="18.42578125" style="140" customWidth="1"/>
    <col min="7" max="7" width="18.140625" style="140" bestFit="1" customWidth="1"/>
    <col min="8" max="8" width="18.42578125" style="140" customWidth="1"/>
    <col min="9" max="9" width="9" style="141" customWidth="1"/>
    <col min="10" max="10" width="3.140625" style="139" customWidth="1"/>
    <col min="11" max="11" width="10.140625" style="142" customWidth="1"/>
    <col min="12" max="12" width="10.140625" style="143" customWidth="1"/>
    <col min="13" max="13" width="10.140625" style="139" customWidth="1"/>
    <col min="14" max="14" width="10" style="139" bestFit="1" customWidth="1"/>
    <col min="15" max="16384" width="9.140625" style="139"/>
  </cols>
  <sheetData>
    <row r="1" spans="1:14" ht="20.25" x14ac:dyDescent="0.3">
      <c r="A1" s="138" t="s">
        <v>424</v>
      </c>
    </row>
    <row r="2" spans="1:14" ht="15.75" x14ac:dyDescent="0.25">
      <c r="A2" s="144"/>
    </row>
    <row r="3" spans="1:14" ht="15.75" x14ac:dyDescent="0.25">
      <c r="A3" s="144" t="s">
        <v>334</v>
      </c>
    </row>
    <row r="4" spans="1:14" ht="13.5" thickBot="1" x14ac:dyDescent="0.25">
      <c r="D4" s="145"/>
      <c r="E4" s="145"/>
      <c r="F4" s="145"/>
      <c r="G4" s="145"/>
      <c r="H4" s="145"/>
      <c r="I4" s="146" t="s">
        <v>96</v>
      </c>
    </row>
    <row r="5" spans="1:14" ht="39" customHeight="1" thickTop="1" thickBot="1" x14ac:dyDescent="0.25">
      <c r="A5" s="1063" t="s">
        <v>118</v>
      </c>
      <c r="B5" s="1064"/>
      <c r="C5" s="173" t="s">
        <v>119</v>
      </c>
      <c r="D5" s="147" t="s">
        <v>74</v>
      </c>
      <c r="E5" s="147" t="s">
        <v>75</v>
      </c>
      <c r="F5" s="147" t="s">
        <v>415</v>
      </c>
      <c r="G5" s="147" t="s">
        <v>422</v>
      </c>
      <c r="H5" s="147" t="s">
        <v>423</v>
      </c>
      <c r="I5" s="148" t="s">
        <v>2</v>
      </c>
    </row>
    <row r="6" spans="1:14" ht="14.25" thickTop="1" thickBot="1" x14ac:dyDescent="0.25">
      <c r="A6" s="1065">
        <v>1</v>
      </c>
      <c r="B6" s="1066"/>
      <c r="C6" s="842">
        <v>2</v>
      </c>
      <c r="D6" s="149" t="s">
        <v>120</v>
      </c>
      <c r="E6" s="149" t="s">
        <v>121</v>
      </c>
      <c r="F6" s="149">
        <v>3</v>
      </c>
      <c r="G6" s="149">
        <v>4</v>
      </c>
      <c r="H6" s="149">
        <v>5</v>
      </c>
      <c r="I6" s="150" t="s">
        <v>122</v>
      </c>
    </row>
    <row r="7" spans="1:14" s="151" customFormat="1" ht="18" customHeight="1" thickTop="1" x14ac:dyDescent="0.25">
      <c r="A7" s="1067" t="s">
        <v>24</v>
      </c>
      <c r="B7" s="1068"/>
      <c r="C7" s="528">
        <v>1</v>
      </c>
      <c r="D7" s="529">
        <v>25921</v>
      </c>
      <c r="E7" s="529">
        <v>28085</v>
      </c>
      <c r="F7" s="529">
        <f>SUM('[7]01'!E16)</f>
        <v>46761</v>
      </c>
      <c r="G7" s="529">
        <f>SUM('[7]01'!F16)</f>
        <v>46910</v>
      </c>
      <c r="H7" s="529">
        <f>SUM('[7]01'!G16)</f>
        <v>48558</v>
      </c>
      <c r="I7" s="530">
        <f>H7/F7*100</f>
        <v>103.8429460447809</v>
      </c>
    </row>
    <row r="8" spans="1:14" s="151" customFormat="1" ht="18" customHeight="1" x14ac:dyDescent="0.25">
      <c r="A8" s="531" t="s">
        <v>255</v>
      </c>
      <c r="B8" s="532"/>
      <c r="C8" s="533"/>
      <c r="D8" s="534"/>
      <c r="E8" s="534"/>
      <c r="F8" s="534">
        <f>SUM('[7]01'!E181)</f>
        <v>46761</v>
      </c>
      <c r="G8" s="534">
        <f>SUM('[7]01'!F181)</f>
        <v>46910</v>
      </c>
      <c r="H8" s="534">
        <f>SUM('[7]01'!G181)</f>
        <v>48558</v>
      </c>
      <c r="I8" s="535">
        <f t="shared" ref="I8" si="0">H8/F8*100</f>
        <v>103.8429460447809</v>
      </c>
    </row>
    <row r="9" spans="1:14" s="151" customFormat="1" ht="18" customHeight="1" x14ac:dyDescent="0.25">
      <c r="A9" s="536" t="s">
        <v>256</v>
      </c>
      <c r="B9" s="537"/>
      <c r="C9" s="538"/>
      <c r="D9" s="539"/>
      <c r="E9" s="539"/>
      <c r="F9" s="539">
        <f>SUM('[7]20'!E11)</f>
        <v>0</v>
      </c>
      <c r="G9" s="539">
        <f>SUM('[7]20'!F11)</f>
        <v>0</v>
      </c>
      <c r="H9" s="539">
        <f>SUM('[7]20'!G11)</f>
        <v>0</v>
      </c>
      <c r="I9" s="540">
        <v>0</v>
      </c>
    </row>
    <row r="10" spans="1:14" s="151" customFormat="1" ht="18" customHeight="1" x14ac:dyDescent="0.25">
      <c r="A10" s="1059" t="s">
        <v>257</v>
      </c>
      <c r="B10" s="1060"/>
      <c r="C10" s="541">
        <v>2</v>
      </c>
      <c r="D10" s="542">
        <v>37794</v>
      </c>
      <c r="E10" s="542">
        <f>24167+14</f>
        <v>24181</v>
      </c>
      <c r="F10" s="542">
        <f>SUM('[7]02'!E13)</f>
        <v>394343</v>
      </c>
      <c r="G10" s="542">
        <f>SUM('[7]02'!F13)</f>
        <v>405295</v>
      </c>
      <c r="H10" s="542">
        <f>SUM('[7]02'!G13)</f>
        <v>430315</v>
      </c>
      <c r="I10" s="543">
        <f>H10/F10*100</f>
        <v>109.12200799811332</v>
      </c>
    </row>
    <row r="11" spans="1:14" s="151" customFormat="1" ht="18" customHeight="1" x14ac:dyDescent="0.25">
      <c r="A11" s="531" t="s">
        <v>255</v>
      </c>
      <c r="B11" s="532"/>
      <c r="C11" s="533"/>
      <c r="D11" s="534"/>
      <c r="E11" s="534"/>
      <c r="F11" s="534">
        <f>SUM('[7]02'!E80)</f>
        <v>394343</v>
      </c>
      <c r="G11" s="534">
        <f>SUM('[7]02'!F80)</f>
        <v>405295</v>
      </c>
      <c r="H11" s="534">
        <f>SUM('[7]02'!G80)</f>
        <v>430315</v>
      </c>
      <c r="I11" s="535">
        <f>H11/F11*100</f>
        <v>109.12200799811332</v>
      </c>
      <c r="K11" s="152"/>
    </row>
    <row r="12" spans="1:14" s="151" customFormat="1" ht="18" customHeight="1" x14ac:dyDescent="0.25">
      <c r="A12" s="536" t="s">
        <v>256</v>
      </c>
      <c r="B12" s="537"/>
      <c r="C12" s="538"/>
      <c r="D12" s="539"/>
      <c r="E12" s="539"/>
      <c r="F12" s="539">
        <f>SUM('[7]02'!E81)</f>
        <v>0</v>
      </c>
      <c r="G12" s="539">
        <f>SUM('[7]02'!F81)</f>
        <v>0</v>
      </c>
      <c r="H12" s="539">
        <f>SUM('[7]02'!G81)</f>
        <v>0</v>
      </c>
      <c r="I12" s="540">
        <v>0</v>
      </c>
    </row>
    <row r="13" spans="1:14" s="151" customFormat="1" ht="18" customHeight="1" x14ac:dyDescent="0.25">
      <c r="A13" s="1053" t="s">
        <v>47</v>
      </c>
      <c r="B13" s="1054"/>
      <c r="C13" s="541">
        <v>3</v>
      </c>
      <c r="D13" s="542">
        <v>305370</v>
      </c>
      <c r="E13" s="542">
        <v>315147</v>
      </c>
      <c r="F13" s="542">
        <f>SUM('[7]03'!E13)</f>
        <v>118632</v>
      </c>
      <c r="G13" s="542">
        <f>SUM('[7]03'!F13)</f>
        <v>119560</v>
      </c>
      <c r="H13" s="767">
        <f>SUM('[7]03'!G13)</f>
        <v>126807</v>
      </c>
      <c r="I13" s="543">
        <f>H13/F13*100</f>
        <v>106.89105806190572</v>
      </c>
      <c r="N13" s="152"/>
    </row>
    <row r="14" spans="1:14" s="151" customFormat="1" ht="18" customHeight="1" x14ac:dyDescent="0.25">
      <c r="A14" s="531" t="s">
        <v>255</v>
      </c>
      <c r="B14" s="532"/>
      <c r="C14" s="533"/>
      <c r="D14" s="534"/>
      <c r="E14" s="534"/>
      <c r="F14" s="534">
        <f>SUM('[7]03'!E174)</f>
        <v>118632</v>
      </c>
      <c r="G14" s="534">
        <f>SUM('[7]03'!F174)</f>
        <v>119560</v>
      </c>
      <c r="H14" s="768">
        <f>SUM('[7]03'!G174)</f>
        <v>126807</v>
      </c>
      <c r="I14" s="535">
        <f t="shared" ref="I14" si="1">H14/F14*100</f>
        <v>106.89105806190572</v>
      </c>
      <c r="K14" s="152"/>
    </row>
    <row r="15" spans="1:14" s="151" customFormat="1" ht="18" customHeight="1" x14ac:dyDescent="0.25">
      <c r="A15" s="536" t="s">
        <v>256</v>
      </c>
      <c r="B15" s="537"/>
      <c r="C15" s="538"/>
      <c r="D15" s="539"/>
      <c r="E15" s="539"/>
      <c r="F15" s="539">
        <f>SUM('[7]04'!E92)</f>
        <v>0</v>
      </c>
      <c r="G15" s="539">
        <f>SUM('[7]04'!F92)</f>
        <v>0</v>
      </c>
      <c r="H15" s="539">
        <f>SUM('[7]04'!G92)</f>
        <v>0</v>
      </c>
      <c r="I15" s="540">
        <v>0</v>
      </c>
    </row>
    <row r="16" spans="1:14" s="151" customFormat="1" ht="18" customHeight="1" x14ac:dyDescent="0.25">
      <c r="A16" s="1059" t="s">
        <v>123</v>
      </c>
      <c r="B16" s="1060"/>
      <c r="C16" s="541">
        <v>4</v>
      </c>
      <c r="D16" s="843">
        <v>37794</v>
      </c>
      <c r="E16" s="843">
        <f>24167+14</f>
        <v>24181</v>
      </c>
      <c r="F16" s="542">
        <f>SUM('[7]04'!E12)</f>
        <v>50940</v>
      </c>
      <c r="G16" s="542">
        <f>SUM('[7]04'!F12)</f>
        <v>56294</v>
      </c>
      <c r="H16" s="542">
        <f>SUM('[7]04'!G12)</f>
        <v>51540</v>
      </c>
      <c r="I16" s="543">
        <f t="shared" ref="I16:I58" si="2">H16/F16*100</f>
        <v>101.17785630153122</v>
      </c>
    </row>
    <row r="17" spans="1:14" s="151" customFormat="1" ht="18" customHeight="1" x14ac:dyDescent="0.25">
      <c r="A17" s="531" t="s">
        <v>255</v>
      </c>
      <c r="B17" s="532"/>
      <c r="C17" s="533"/>
      <c r="D17" s="844"/>
      <c r="E17" s="844"/>
      <c r="F17" s="534">
        <f>SUM('[7]04'!E94)</f>
        <v>42035</v>
      </c>
      <c r="G17" s="534">
        <f>SUM('[7]04'!F94)</f>
        <v>42389</v>
      </c>
      <c r="H17" s="534">
        <f>SUM('[7]04'!G94)</f>
        <v>45555</v>
      </c>
      <c r="I17" s="535">
        <f t="shared" si="2"/>
        <v>108.37397406922801</v>
      </c>
      <c r="K17" s="152"/>
    </row>
    <row r="18" spans="1:14" s="151" customFormat="1" ht="18" customHeight="1" x14ac:dyDescent="0.25">
      <c r="A18" s="536" t="s">
        <v>256</v>
      </c>
      <c r="B18" s="537"/>
      <c r="C18" s="538"/>
      <c r="D18" s="845"/>
      <c r="E18" s="845"/>
      <c r="F18" s="539">
        <f>SUM('[7]04'!E95)</f>
        <v>8905</v>
      </c>
      <c r="G18" s="539">
        <f>SUM('[7]04'!F95)</f>
        <v>13905</v>
      </c>
      <c r="H18" s="539">
        <f>SUM('[7]04'!G95)</f>
        <v>5985</v>
      </c>
      <c r="I18" s="540">
        <v>0</v>
      </c>
    </row>
    <row r="19" spans="1:14" s="153" customFormat="1" ht="18" customHeight="1" x14ac:dyDescent="0.25">
      <c r="A19" s="1059" t="s">
        <v>124</v>
      </c>
      <c r="B19" s="1060"/>
      <c r="C19" s="541">
        <v>6</v>
      </c>
      <c r="D19" s="542">
        <v>24589</v>
      </c>
      <c r="E19" s="542">
        <v>28131</v>
      </c>
      <c r="F19" s="542">
        <f>SUM('[7]06'!E10)</f>
        <v>41055</v>
      </c>
      <c r="G19" s="542">
        <f>SUM('[7]06'!F10)</f>
        <v>43269</v>
      </c>
      <c r="H19" s="542">
        <f>SUM('[7]06'!G10)</f>
        <v>45111</v>
      </c>
      <c r="I19" s="543">
        <f>H19/F19*100</f>
        <v>109.87943003288272</v>
      </c>
      <c r="J19" s="151"/>
      <c r="K19" s="151"/>
      <c r="L19" s="151"/>
    </row>
    <row r="20" spans="1:14" s="153" customFormat="1" ht="18" customHeight="1" x14ac:dyDescent="0.25">
      <c r="A20" s="531" t="s">
        <v>255</v>
      </c>
      <c r="B20" s="532"/>
      <c r="C20" s="533"/>
      <c r="D20" s="534"/>
      <c r="E20" s="534"/>
      <c r="F20" s="534">
        <f>SUM('[7]06'!E64)</f>
        <v>41055</v>
      </c>
      <c r="G20" s="534">
        <f>SUM('[7]06'!F64)</f>
        <v>43269</v>
      </c>
      <c r="H20" s="534">
        <f>SUM('[7]06'!G64)</f>
        <v>45111</v>
      </c>
      <c r="I20" s="535">
        <f t="shared" ref="I20" si="3">H20/F20*100</f>
        <v>109.87943003288272</v>
      </c>
      <c r="J20" s="151"/>
      <c r="K20" s="151"/>
      <c r="L20" s="151"/>
    </row>
    <row r="21" spans="1:14" s="153" customFormat="1" ht="18" customHeight="1" x14ac:dyDescent="0.25">
      <c r="A21" s="536" t="s">
        <v>256</v>
      </c>
      <c r="B21" s="537"/>
      <c r="C21" s="538"/>
      <c r="D21" s="539"/>
      <c r="E21" s="539"/>
      <c r="F21" s="539">
        <f>SUM('[7]06'!E65)</f>
        <v>0</v>
      </c>
      <c r="G21" s="539">
        <f>SUM('[7]06'!F65)</f>
        <v>0</v>
      </c>
      <c r="H21" s="539">
        <f>SUM('[7]06'!G65)</f>
        <v>0</v>
      </c>
      <c r="I21" s="540">
        <v>0</v>
      </c>
      <c r="J21" s="151"/>
      <c r="K21" s="151"/>
      <c r="L21" s="151"/>
    </row>
    <row r="22" spans="1:14" s="151" customFormat="1" ht="18" customHeight="1" x14ac:dyDescent="0.25">
      <c r="A22" s="1053" t="s">
        <v>125</v>
      </c>
      <c r="B22" s="1054"/>
      <c r="C22" s="541">
        <v>7</v>
      </c>
      <c r="D22" s="542">
        <v>46380</v>
      </c>
      <c r="E22" s="542">
        <v>45038</v>
      </c>
      <c r="F22" s="542">
        <f>SUM('[7]07'!E12)</f>
        <v>334064</v>
      </c>
      <c r="G22" s="542">
        <f>SUM('[7]07'!F12)</f>
        <v>320332</v>
      </c>
      <c r="H22" s="542">
        <f>SUM('[7]07'!G12)</f>
        <v>252715</v>
      </c>
      <c r="I22" s="543">
        <f t="shared" si="2"/>
        <v>75.648678097610031</v>
      </c>
    </row>
    <row r="23" spans="1:14" s="153" customFormat="1" ht="18" customHeight="1" x14ac:dyDescent="0.25">
      <c r="A23" s="531" t="s">
        <v>255</v>
      </c>
      <c r="B23" s="532"/>
      <c r="C23" s="533"/>
      <c r="D23" s="534"/>
      <c r="E23" s="534"/>
      <c r="F23" s="534">
        <f>SUM('[7]07'!E53)</f>
        <v>334064</v>
      </c>
      <c r="G23" s="534">
        <f>SUM('[7]07'!F53)</f>
        <v>320332</v>
      </c>
      <c r="H23" s="534">
        <f>SUM('[7]07'!G53)</f>
        <v>252715</v>
      </c>
      <c r="I23" s="535">
        <f t="shared" si="2"/>
        <v>75.648678097610031</v>
      </c>
      <c r="J23" s="151"/>
      <c r="K23" s="151"/>
      <c r="L23" s="151"/>
    </row>
    <row r="24" spans="1:14" s="153" customFormat="1" ht="18" customHeight="1" x14ac:dyDescent="0.25">
      <c r="A24" s="536" t="s">
        <v>256</v>
      </c>
      <c r="B24" s="537"/>
      <c r="C24" s="538"/>
      <c r="D24" s="539"/>
      <c r="E24" s="539"/>
      <c r="F24" s="539">
        <f>SUM('[7]06'!E68)</f>
        <v>0</v>
      </c>
      <c r="G24" s="539">
        <f>SUM('[7]06'!F68)</f>
        <v>0</v>
      </c>
      <c r="H24" s="539">
        <f>SUM('[7]06'!G68)</f>
        <v>0</v>
      </c>
      <c r="I24" s="540">
        <v>0</v>
      </c>
      <c r="J24" s="151"/>
      <c r="K24" s="151"/>
      <c r="L24" s="151"/>
    </row>
    <row r="25" spans="1:14" s="154" customFormat="1" ht="18" customHeight="1" x14ac:dyDescent="0.25">
      <c r="A25" s="1061" t="s">
        <v>51</v>
      </c>
      <c r="B25" s="1062"/>
      <c r="C25" s="541">
        <v>8</v>
      </c>
      <c r="D25" s="544">
        <v>7505</v>
      </c>
      <c r="E25" s="544">
        <v>9297</v>
      </c>
      <c r="F25" s="544">
        <f>SUM('[7]08'!E16)</f>
        <v>39023</v>
      </c>
      <c r="G25" s="544">
        <f>SUM('[7]08'!F16)</f>
        <v>132630</v>
      </c>
      <c r="H25" s="544">
        <f>SUM('[7]08'!G16)</f>
        <v>37442</v>
      </c>
      <c r="I25" s="543">
        <f>H25/F25*100</f>
        <v>95.948543166850314</v>
      </c>
    </row>
    <row r="26" spans="1:14" s="151" customFormat="1" ht="18" customHeight="1" x14ac:dyDescent="0.25">
      <c r="A26" s="531" t="s">
        <v>255</v>
      </c>
      <c r="B26" s="532"/>
      <c r="C26" s="533"/>
      <c r="D26" s="534"/>
      <c r="E26" s="534"/>
      <c r="F26" s="534">
        <f>SUM('[7]08'!E257)</f>
        <v>39023</v>
      </c>
      <c r="G26" s="534">
        <f>SUM('[7]08'!F257)</f>
        <v>132630</v>
      </c>
      <c r="H26" s="534">
        <f>SUM('[7]08'!G257)</f>
        <v>37442</v>
      </c>
      <c r="I26" s="535">
        <f t="shared" ref="I26" si="4">H26/F26*100</f>
        <v>95.948543166850314</v>
      </c>
      <c r="K26" s="152"/>
    </row>
    <row r="27" spans="1:14" s="151" customFormat="1" ht="18" customHeight="1" x14ac:dyDescent="0.25">
      <c r="A27" s="536" t="s">
        <v>256</v>
      </c>
      <c r="B27" s="537"/>
      <c r="C27" s="538"/>
      <c r="D27" s="539"/>
      <c r="E27" s="539"/>
      <c r="F27" s="539">
        <f>SUM('[7]04'!E102)</f>
        <v>0</v>
      </c>
      <c r="G27" s="539">
        <f>SUM('[7]04'!F102)</f>
        <v>0</v>
      </c>
      <c r="H27" s="539">
        <f>SUM('[7]04'!G102)</f>
        <v>0</v>
      </c>
      <c r="I27" s="540">
        <v>0</v>
      </c>
    </row>
    <row r="28" spans="1:14" s="155" customFormat="1" ht="18" customHeight="1" x14ac:dyDescent="0.25">
      <c r="A28" s="1053" t="s">
        <v>126</v>
      </c>
      <c r="B28" s="1054"/>
      <c r="C28" s="541">
        <v>9</v>
      </c>
      <c r="D28" s="843">
        <v>4793</v>
      </c>
      <c r="E28" s="843">
        <v>5130</v>
      </c>
      <c r="F28" s="542">
        <f>SUM('[7]09'!E19)</f>
        <v>6195</v>
      </c>
      <c r="G28" s="542">
        <f>SUM('[7]09'!F19)</f>
        <v>6060</v>
      </c>
      <c r="H28" s="542">
        <f>SUM('[7]09'!G19)</f>
        <v>8640</v>
      </c>
      <c r="I28" s="543">
        <f t="shared" si="2"/>
        <v>139.46731234866826</v>
      </c>
      <c r="N28" s="156"/>
    </row>
    <row r="29" spans="1:14" s="151" customFormat="1" ht="18" customHeight="1" x14ac:dyDescent="0.25">
      <c r="A29" s="531" t="s">
        <v>255</v>
      </c>
      <c r="B29" s="532"/>
      <c r="C29" s="533"/>
      <c r="D29" s="844"/>
      <c r="E29" s="844"/>
      <c r="F29" s="534">
        <f>SUM('[7]09'!E155)</f>
        <v>6195</v>
      </c>
      <c r="G29" s="534">
        <f>SUM('[7]09'!F155)</f>
        <v>6060</v>
      </c>
      <c r="H29" s="534">
        <f>SUM('[7]09'!G155)</f>
        <v>8640</v>
      </c>
      <c r="I29" s="535">
        <f t="shared" si="2"/>
        <v>139.46731234866826</v>
      </c>
      <c r="K29" s="152"/>
    </row>
    <row r="30" spans="1:14" s="151" customFormat="1" ht="18" customHeight="1" x14ac:dyDescent="0.25">
      <c r="A30" s="536" t="s">
        <v>256</v>
      </c>
      <c r="B30" s="537"/>
      <c r="C30" s="538"/>
      <c r="D30" s="845"/>
      <c r="E30" s="845"/>
      <c r="F30" s="539">
        <f>SUM('[7]04'!E105)</f>
        <v>0</v>
      </c>
      <c r="G30" s="539">
        <f>SUM('[7]04'!F105)</f>
        <v>0</v>
      </c>
      <c r="H30" s="539">
        <f>SUM('[7]04'!G105)</f>
        <v>0</v>
      </c>
      <c r="I30" s="540">
        <v>0</v>
      </c>
    </row>
    <row r="31" spans="1:14" s="155" customFormat="1" ht="18" customHeight="1" x14ac:dyDescent="0.25">
      <c r="A31" s="1053" t="s">
        <v>78</v>
      </c>
      <c r="B31" s="1054"/>
      <c r="C31" s="545">
        <v>10</v>
      </c>
      <c r="D31" s="843">
        <v>14184</v>
      </c>
      <c r="E31" s="843">
        <f>10107+870</f>
        <v>10977</v>
      </c>
      <c r="F31" s="542">
        <f>SUM('[7]10'!E17)</f>
        <v>12058</v>
      </c>
      <c r="G31" s="542">
        <f>SUM('[7]10'!F17)</f>
        <v>12005</v>
      </c>
      <c r="H31" s="542">
        <f>SUM('[7]10'!G17)</f>
        <v>12558</v>
      </c>
      <c r="I31" s="543">
        <f t="shared" si="2"/>
        <v>104.1466246475369</v>
      </c>
    </row>
    <row r="32" spans="1:14" s="151" customFormat="1" ht="18" customHeight="1" x14ac:dyDescent="0.25">
      <c r="A32" s="531" t="s">
        <v>255</v>
      </c>
      <c r="B32" s="532"/>
      <c r="C32" s="533"/>
      <c r="D32" s="844"/>
      <c r="E32" s="844"/>
      <c r="F32" s="534">
        <f>SUM('[7]10'!E144)</f>
        <v>12058</v>
      </c>
      <c r="G32" s="534">
        <f>SUM('[7]10'!F144)</f>
        <v>12005</v>
      </c>
      <c r="H32" s="534">
        <f>SUM('[7]10'!G144)</f>
        <v>12558</v>
      </c>
      <c r="I32" s="535">
        <f t="shared" si="2"/>
        <v>104.1466246475369</v>
      </c>
      <c r="K32" s="152"/>
    </row>
    <row r="33" spans="1:14" s="151" customFormat="1" ht="18" customHeight="1" x14ac:dyDescent="0.25">
      <c r="A33" s="536" t="s">
        <v>256</v>
      </c>
      <c r="B33" s="537"/>
      <c r="C33" s="538"/>
      <c r="D33" s="845"/>
      <c r="E33" s="845"/>
      <c r="F33" s="539">
        <f>SUM('[7]04'!E104)</f>
        <v>0</v>
      </c>
      <c r="G33" s="539">
        <f>SUM('[7]04'!F104)</f>
        <v>0</v>
      </c>
      <c r="H33" s="539">
        <f>SUM('[7]04'!G104)</f>
        <v>0</v>
      </c>
      <c r="I33" s="540">
        <v>0</v>
      </c>
    </row>
    <row r="34" spans="1:14" s="151" customFormat="1" ht="18" customHeight="1" x14ac:dyDescent="0.25">
      <c r="A34" s="1053" t="s">
        <v>127</v>
      </c>
      <c r="B34" s="1054"/>
      <c r="C34" s="545">
        <v>11</v>
      </c>
      <c r="D34" s="542">
        <v>5245</v>
      </c>
      <c r="E34" s="542">
        <v>1330</v>
      </c>
      <c r="F34" s="542">
        <f>SUM('[7]11'!E16)</f>
        <v>2737</v>
      </c>
      <c r="G34" s="542">
        <f>SUM('[7]11'!F16)</f>
        <v>4476</v>
      </c>
      <c r="H34" s="542">
        <f>SUM('[7]11'!G16)</f>
        <v>4416</v>
      </c>
      <c r="I34" s="543">
        <f t="shared" si="2"/>
        <v>161.34453781512605</v>
      </c>
      <c r="N34" s="152"/>
    </row>
    <row r="35" spans="1:14" s="151" customFormat="1" ht="18" customHeight="1" x14ac:dyDescent="0.25">
      <c r="A35" s="531" t="s">
        <v>255</v>
      </c>
      <c r="B35" s="532"/>
      <c r="C35" s="533"/>
      <c r="D35" s="534"/>
      <c r="E35" s="534"/>
      <c r="F35" s="534">
        <f>SUM('[7]11'!E231)</f>
        <v>2737</v>
      </c>
      <c r="G35" s="534">
        <f>SUM('[7]11'!F231)</f>
        <v>4476</v>
      </c>
      <c r="H35" s="534">
        <f>SUM('[7]11'!G231)</f>
        <v>4416</v>
      </c>
      <c r="I35" s="535">
        <f t="shared" si="2"/>
        <v>161.34453781512605</v>
      </c>
      <c r="K35" s="152"/>
    </row>
    <row r="36" spans="1:14" s="151" customFormat="1" ht="18" customHeight="1" x14ac:dyDescent="0.25">
      <c r="A36" s="536" t="s">
        <v>256</v>
      </c>
      <c r="B36" s="537"/>
      <c r="C36" s="538"/>
      <c r="D36" s="539"/>
      <c r="E36" s="539"/>
      <c r="F36" s="539">
        <f>SUM('[7]04'!E107)</f>
        <v>0</v>
      </c>
      <c r="G36" s="539">
        <f>SUM('[7]04'!F107)</f>
        <v>0</v>
      </c>
      <c r="H36" s="539">
        <f>SUM('[7]04'!G107)</f>
        <v>0</v>
      </c>
      <c r="I36" s="540">
        <v>0</v>
      </c>
    </row>
    <row r="37" spans="1:14" s="151" customFormat="1" ht="18" customHeight="1" x14ac:dyDescent="0.25">
      <c r="A37" s="1055" t="s">
        <v>128</v>
      </c>
      <c r="B37" s="1057"/>
      <c r="C37" s="545">
        <v>12</v>
      </c>
      <c r="D37" s="542">
        <v>835</v>
      </c>
      <c r="E37" s="542">
        <v>3238</v>
      </c>
      <c r="F37" s="542">
        <f>SUM('[7]12'!E14)</f>
        <v>920</v>
      </c>
      <c r="G37" s="542">
        <f>SUM('[7]12'!F14)</f>
        <v>32857</v>
      </c>
      <c r="H37" s="542">
        <f>SUM('[7]12'!G14)</f>
        <v>870</v>
      </c>
      <c r="I37" s="543">
        <f t="shared" si="2"/>
        <v>94.565217391304344</v>
      </c>
      <c r="J37" s="152"/>
      <c r="K37" s="152"/>
      <c r="L37" s="152"/>
      <c r="M37" s="152"/>
      <c r="N37" s="152"/>
    </row>
    <row r="38" spans="1:14" s="151" customFormat="1" ht="18" customHeight="1" x14ac:dyDescent="0.25">
      <c r="A38" s="531" t="s">
        <v>255</v>
      </c>
      <c r="B38" s="532"/>
      <c r="C38" s="533"/>
      <c r="D38" s="534"/>
      <c r="E38" s="534"/>
      <c r="F38" s="534">
        <f>SUM('[7]12'!E44)</f>
        <v>920</v>
      </c>
      <c r="G38" s="534">
        <f>SUM('[7]12'!F44)</f>
        <v>32857</v>
      </c>
      <c r="H38" s="534">
        <f>SUM('[7]12'!G44)</f>
        <v>870</v>
      </c>
      <c r="I38" s="535">
        <f t="shared" si="2"/>
        <v>94.565217391304344</v>
      </c>
      <c r="K38" s="152"/>
    </row>
    <row r="39" spans="1:14" s="151" customFormat="1" ht="18" customHeight="1" x14ac:dyDescent="0.25">
      <c r="A39" s="536" t="s">
        <v>256</v>
      </c>
      <c r="B39" s="537"/>
      <c r="C39" s="538"/>
      <c r="D39" s="539"/>
      <c r="E39" s="539"/>
      <c r="F39" s="539">
        <f>SUM('[7]04'!E102)</f>
        <v>0</v>
      </c>
      <c r="G39" s="539">
        <f>SUM('[7]13'!F70)</f>
        <v>0</v>
      </c>
      <c r="H39" s="539">
        <f>SUM('[7]13'!G70)</f>
        <v>0</v>
      </c>
      <c r="I39" s="540">
        <v>0</v>
      </c>
    </row>
    <row r="40" spans="1:14" s="153" customFormat="1" ht="18" customHeight="1" x14ac:dyDescent="0.25">
      <c r="A40" s="1055" t="s">
        <v>79</v>
      </c>
      <c r="B40" s="1058"/>
      <c r="C40" s="545">
        <v>13</v>
      </c>
      <c r="D40" s="542">
        <v>9093</v>
      </c>
      <c r="E40" s="542">
        <v>1</v>
      </c>
      <c r="F40" s="542">
        <f>SUM('[7]13'!E14)</f>
        <v>26636</v>
      </c>
      <c r="G40" s="542">
        <f>SUM('[7]13'!F14)</f>
        <v>32696</v>
      </c>
      <c r="H40" s="542">
        <f>SUM('[7]13'!G14)</f>
        <v>34740</v>
      </c>
      <c r="I40" s="543">
        <f t="shared" si="2"/>
        <v>130.42498873704758</v>
      </c>
      <c r="J40" s="152"/>
      <c r="K40" s="152"/>
      <c r="L40" s="157"/>
      <c r="M40" s="157"/>
      <c r="N40" s="157"/>
    </row>
    <row r="41" spans="1:14" s="151" customFormat="1" ht="18" customHeight="1" x14ac:dyDescent="0.25">
      <c r="A41" s="531" t="s">
        <v>255</v>
      </c>
      <c r="B41" s="532"/>
      <c r="C41" s="533"/>
      <c r="D41" s="534"/>
      <c r="E41" s="534"/>
      <c r="F41" s="534">
        <f>SUM('[7]13'!E72)</f>
        <v>26636</v>
      </c>
      <c r="G41" s="534">
        <f>SUM('[7]13'!F72)</f>
        <v>32696</v>
      </c>
      <c r="H41" s="534">
        <f>SUM('[7]13'!G72)</f>
        <v>34740</v>
      </c>
      <c r="I41" s="535">
        <f t="shared" si="2"/>
        <v>130.42498873704758</v>
      </c>
      <c r="K41" s="152"/>
    </row>
    <row r="42" spans="1:14" s="151" customFormat="1" ht="18" customHeight="1" x14ac:dyDescent="0.25">
      <c r="A42" s="536" t="s">
        <v>256</v>
      </c>
      <c r="B42" s="537"/>
      <c r="C42" s="538"/>
      <c r="D42" s="539"/>
      <c r="E42" s="539"/>
      <c r="F42" s="539">
        <f>SUM('[7]04'!E105)</f>
        <v>0</v>
      </c>
      <c r="G42" s="539">
        <f>SUM('[7]13'!F73)</f>
        <v>0</v>
      </c>
      <c r="H42" s="539">
        <f>SUM('[7]13'!G73)</f>
        <v>0</v>
      </c>
      <c r="I42" s="540">
        <v>0</v>
      </c>
    </row>
    <row r="43" spans="1:14" s="158" customFormat="1" ht="18" customHeight="1" x14ac:dyDescent="0.25">
      <c r="A43" s="1053" t="s">
        <v>129</v>
      </c>
      <c r="B43" s="1054"/>
      <c r="C43" s="546">
        <v>14</v>
      </c>
      <c r="D43" s="544">
        <v>18917</v>
      </c>
      <c r="E43" s="544">
        <v>21869</v>
      </c>
      <c r="F43" s="544">
        <f>SUM('[7]14'!E18)</f>
        <v>53135</v>
      </c>
      <c r="G43" s="544">
        <f>SUM('[7]14'!F18)</f>
        <v>53133</v>
      </c>
      <c r="H43" s="544">
        <f>SUM('[7]14'!G18)</f>
        <v>80460</v>
      </c>
      <c r="I43" s="543">
        <f t="shared" si="2"/>
        <v>151.4256140020702</v>
      </c>
      <c r="J43" s="155"/>
      <c r="K43" s="155"/>
      <c r="N43" s="159"/>
    </row>
    <row r="44" spans="1:14" s="151" customFormat="1" ht="18" customHeight="1" x14ac:dyDescent="0.25">
      <c r="A44" s="531" t="s">
        <v>255</v>
      </c>
      <c r="B44" s="532"/>
      <c r="C44" s="533"/>
      <c r="D44" s="534"/>
      <c r="E44" s="534"/>
      <c r="F44" s="534">
        <f>SUM('[7]14'!E83)</f>
        <v>53135</v>
      </c>
      <c r="G44" s="534">
        <f>SUM('[7]14'!F83)</f>
        <v>53133</v>
      </c>
      <c r="H44" s="534">
        <f>SUM('[7]14'!G83)</f>
        <v>80460</v>
      </c>
      <c r="I44" s="535">
        <f t="shared" si="2"/>
        <v>151.4256140020702</v>
      </c>
      <c r="K44" s="152"/>
    </row>
    <row r="45" spans="1:14" s="151" customFormat="1" ht="18" customHeight="1" x14ac:dyDescent="0.25">
      <c r="A45" s="536" t="s">
        <v>256</v>
      </c>
      <c r="B45" s="537"/>
      <c r="C45" s="538"/>
      <c r="D45" s="539"/>
      <c r="E45" s="539"/>
      <c r="F45" s="539">
        <f>SUM('[7]04'!E108)</f>
        <v>0</v>
      </c>
      <c r="G45" s="539">
        <f>SUM('[7]04'!F108)</f>
        <v>0</v>
      </c>
      <c r="H45" s="539">
        <f>SUM('[7]04'!G108)</f>
        <v>0</v>
      </c>
      <c r="I45" s="540">
        <v>0</v>
      </c>
    </row>
    <row r="46" spans="1:14" s="151" customFormat="1" ht="18" customHeight="1" x14ac:dyDescent="0.25">
      <c r="A46" s="1055" t="s">
        <v>80</v>
      </c>
      <c r="B46" s="1056"/>
      <c r="C46" s="545">
        <v>17</v>
      </c>
      <c r="D46" s="843">
        <v>487</v>
      </c>
      <c r="E46" s="843">
        <v>989</v>
      </c>
      <c r="F46" s="542">
        <f>SUM('[7]17'!E12)</f>
        <v>1305</v>
      </c>
      <c r="G46" s="542">
        <f>SUM('[7]17'!F12)</f>
        <v>1923</v>
      </c>
      <c r="H46" s="542">
        <f>SUM('[7]17'!G12)</f>
        <v>1355</v>
      </c>
      <c r="I46" s="543">
        <f t="shared" si="2"/>
        <v>103.83141762452108</v>
      </c>
    </row>
    <row r="47" spans="1:14" s="151" customFormat="1" ht="18" customHeight="1" x14ac:dyDescent="0.25">
      <c r="A47" s="531" t="s">
        <v>255</v>
      </c>
      <c r="B47" s="532"/>
      <c r="C47" s="533"/>
      <c r="D47" s="844"/>
      <c r="E47" s="844"/>
      <c r="F47" s="534">
        <f>SUM('[7]17'!E40)</f>
        <v>1305</v>
      </c>
      <c r="G47" s="534">
        <f>SUM('[7]17'!F40)</f>
        <v>1923</v>
      </c>
      <c r="H47" s="534">
        <f>SUM('[7]17'!G40)</f>
        <v>1355</v>
      </c>
      <c r="I47" s="535">
        <f t="shared" si="2"/>
        <v>103.83141762452108</v>
      </c>
      <c r="K47" s="152"/>
    </row>
    <row r="48" spans="1:14" s="151" customFormat="1" ht="18" customHeight="1" x14ac:dyDescent="0.25">
      <c r="A48" s="536" t="s">
        <v>256</v>
      </c>
      <c r="B48" s="537"/>
      <c r="C48" s="538"/>
      <c r="D48" s="539"/>
      <c r="E48" s="539"/>
      <c r="F48" s="539">
        <f>SUM('[7]04'!E111)</f>
        <v>0</v>
      </c>
      <c r="G48" s="539">
        <f>SUM('[7]04'!F111)</f>
        <v>0</v>
      </c>
      <c r="H48" s="539">
        <f>SUM('[7]04'!G111)</f>
        <v>0</v>
      </c>
      <c r="I48" s="540">
        <v>0</v>
      </c>
    </row>
    <row r="49" spans="1:12" s="151" customFormat="1" ht="18" customHeight="1" x14ac:dyDescent="0.25">
      <c r="A49" s="1055" t="s">
        <v>81</v>
      </c>
      <c r="B49" s="1057"/>
      <c r="C49" s="545">
        <v>18</v>
      </c>
      <c r="D49" s="542">
        <v>27425</v>
      </c>
      <c r="E49" s="542">
        <v>34572</v>
      </c>
      <c r="F49" s="542">
        <f>SUM('[7]18'!E34)</f>
        <v>75408</v>
      </c>
      <c r="G49" s="542">
        <f>SUM('[7]18'!F34)</f>
        <v>75237</v>
      </c>
      <c r="H49" s="542">
        <f>SUM('[7]18'!G34)</f>
        <v>72454</v>
      </c>
      <c r="I49" s="543">
        <f t="shared" si="2"/>
        <v>96.082643751326131</v>
      </c>
    </row>
    <row r="50" spans="1:12" s="151" customFormat="1" ht="18" customHeight="1" x14ac:dyDescent="0.25">
      <c r="A50" s="531" t="s">
        <v>255</v>
      </c>
      <c r="B50" s="532"/>
      <c r="C50" s="533"/>
      <c r="D50" s="534"/>
      <c r="E50" s="534"/>
      <c r="F50" s="534">
        <f>SUM('[7]18'!E390)</f>
        <v>75408</v>
      </c>
      <c r="G50" s="534">
        <f>SUM('[7]18'!F390)</f>
        <v>75237</v>
      </c>
      <c r="H50" s="534">
        <f>SUM('[7]18'!G390)</f>
        <v>72454</v>
      </c>
      <c r="I50" s="535">
        <f t="shared" si="2"/>
        <v>96.082643751326131</v>
      </c>
      <c r="K50" s="152"/>
    </row>
    <row r="51" spans="1:12" s="151" customFormat="1" ht="18" customHeight="1" x14ac:dyDescent="0.25">
      <c r="A51" s="536" t="s">
        <v>256</v>
      </c>
      <c r="B51" s="537"/>
      <c r="C51" s="538"/>
      <c r="D51" s="539"/>
      <c r="E51" s="539"/>
      <c r="F51" s="539">
        <f>SUM('[7]18'!E391)</f>
        <v>0</v>
      </c>
      <c r="G51" s="539">
        <f>SUM('[7]18'!F391)</f>
        <v>0</v>
      </c>
      <c r="H51" s="539">
        <f>SUM('[7]18'!G391)</f>
        <v>0</v>
      </c>
      <c r="I51" s="540">
        <v>0</v>
      </c>
    </row>
    <row r="52" spans="1:12" s="151" customFormat="1" ht="18" customHeight="1" x14ac:dyDescent="0.25">
      <c r="A52" s="1055" t="s">
        <v>130</v>
      </c>
      <c r="B52" s="1057"/>
      <c r="C52" s="545">
        <v>20</v>
      </c>
      <c r="D52" s="542">
        <f>SUM('[7]20'!C10)</f>
        <v>0</v>
      </c>
      <c r="E52" s="542">
        <f>SUM('[7]20'!D10)</f>
        <v>0</v>
      </c>
      <c r="F52" s="542">
        <f>SUM('[7]20'!E10)</f>
        <v>498</v>
      </c>
      <c r="G52" s="542">
        <f>SUM('[7]20'!F10)</f>
        <v>498</v>
      </c>
      <c r="H52" s="542">
        <f>SUM('[7]20'!G10)</f>
        <v>577</v>
      </c>
      <c r="I52" s="543">
        <f t="shared" si="2"/>
        <v>115.86345381526104</v>
      </c>
      <c r="J52" s="160"/>
    </row>
    <row r="53" spans="1:12" s="151" customFormat="1" ht="18" customHeight="1" x14ac:dyDescent="0.25">
      <c r="A53" s="531" t="s">
        <v>255</v>
      </c>
      <c r="B53" s="532"/>
      <c r="C53" s="533"/>
      <c r="D53" s="534"/>
      <c r="E53" s="534"/>
      <c r="F53" s="534">
        <f>SUM('[7]20'!E35)</f>
        <v>498</v>
      </c>
      <c r="G53" s="534">
        <f>SUM('[7]20'!F35)</f>
        <v>498</v>
      </c>
      <c r="H53" s="534">
        <f>SUM('[7]20'!G35)</f>
        <v>577</v>
      </c>
      <c r="I53" s="535">
        <f t="shared" si="2"/>
        <v>115.86345381526104</v>
      </c>
      <c r="K53" s="152"/>
    </row>
    <row r="54" spans="1:12" s="151" customFormat="1" ht="18" customHeight="1" x14ac:dyDescent="0.25">
      <c r="A54" s="536" t="s">
        <v>256</v>
      </c>
      <c r="B54" s="537"/>
      <c r="C54" s="538"/>
      <c r="D54" s="539"/>
      <c r="E54" s="539"/>
      <c r="F54" s="539">
        <f>SUM('[7]20'!E36)</f>
        <v>0</v>
      </c>
      <c r="G54" s="539">
        <f>SUM('[7]20'!F36)</f>
        <v>0</v>
      </c>
      <c r="H54" s="539">
        <f>SUM('[7]20'!G36)</f>
        <v>0</v>
      </c>
      <c r="I54" s="540">
        <v>0</v>
      </c>
    </row>
    <row r="55" spans="1:12" s="153" customFormat="1" ht="18" customHeight="1" x14ac:dyDescent="0.25">
      <c r="A55" s="1055" t="s">
        <v>373</v>
      </c>
      <c r="B55" s="1057"/>
      <c r="C55" s="545">
        <v>98</v>
      </c>
      <c r="D55" s="542">
        <f>SUM('[7]20'!C13)</f>
        <v>0</v>
      </c>
      <c r="E55" s="542">
        <f>SUM('[7]20'!D13)</f>
        <v>0</v>
      </c>
      <c r="F55" s="542">
        <f>SUM(F56:F57)</f>
        <v>20000</v>
      </c>
      <c r="G55" s="542">
        <f>SUM(G56:G57)</f>
        <v>215407</v>
      </c>
      <c r="H55" s="542">
        <f>SUM(H56:H57)</f>
        <v>15000</v>
      </c>
      <c r="I55" s="543">
        <f t="shared" si="2"/>
        <v>75</v>
      </c>
      <c r="J55" s="151"/>
    </row>
    <row r="56" spans="1:12" s="547" customFormat="1" ht="18" customHeight="1" x14ac:dyDescent="0.2">
      <c r="A56" s="531" t="s">
        <v>255</v>
      </c>
      <c r="B56" s="532"/>
      <c r="C56" s="533"/>
      <c r="D56" s="534"/>
      <c r="E56" s="534"/>
      <c r="F56" s="534">
        <f>SUM('[7]98'!E25)</f>
        <v>20000</v>
      </c>
      <c r="G56" s="534">
        <f>SUM('[7]98'!F25)</f>
        <v>215407</v>
      </c>
      <c r="H56" s="534">
        <f>SUM('[7]98'!G25)</f>
        <v>15000</v>
      </c>
      <c r="I56" s="535">
        <f>H56/F56*100</f>
        <v>75</v>
      </c>
      <c r="J56" s="399"/>
    </row>
    <row r="57" spans="1:12" s="547" customFormat="1" ht="18" customHeight="1" thickBot="1" x14ac:dyDescent="0.25">
      <c r="A57" s="536" t="s">
        <v>256</v>
      </c>
      <c r="B57" s="537"/>
      <c r="C57" s="538"/>
      <c r="D57" s="539"/>
      <c r="E57" s="539"/>
      <c r="F57" s="539">
        <f>SUM('[7]20'!E39)</f>
        <v>0</v>
      </c>
      <c r="G57" s="539">
        <f>SUM('[7]20'!F39)</f>
        <v>0</v>
      </c>
      <c r="H57" s="539">
        <f>SUM('[7]20'!G39)</f>
        <v>0</v>
      </c>
      <c r="I57" s="540">
        <v>0</v>
      </c>
      <c r="J57" s="399"/>
    </row>
    <row r="58" spans="1:12" s="163" customFormat="1" ht="25.5" customHeight="1" thickTop="1" thickBot="1" x14ac:dyDescent="0.3">
      <c r="A58" s="1050" t="s">
        <v>131</v>
      </c>
      <c r="B58" s="1051"/>
      <c r="C58" s="1051"/>
      <c r="D58" s="161">
        <f>SUM(D7:D52)</f>
        <v>566332</v>
      </c>
      <c r="E58" s="161">
        <f>SUM(E7:E52)</f>
        <v>552166</v>
      </c>
      <c r="F58" s="161">
        <f>SUM(F7,F10,F13,F16,F19,F22,F25,F28,F31,F34,F37,F40,F43,F46,F49,F52,F55)</f>
        <v>1223710</v>
      </c>
      <c r="G58" s="161">
        <f>SUM(G7,G10,G13,G16,G19,G22,G25,G28,G31,G34,G37,G40,G43,G46,G49,G52,G55)</f>
        <v>1558582</v>
      </c>
      <c r="H58" s="161">
        <f>SUM(H7,H10,H13,H16,H19,H22,H25,H28,H31,H34,H37,H40,H43,H46,H49,H52,H55)</f>
        <v>1223558</v>
      </c>
      <c r="I58" s="162">
        <f t="shared" si="2"/>
        <v>99.987578756404702</v>
      </c>
      <c r="K58" s="164"/>
      <c r="L58" s="165"/>
    </row>
    <row r="59" spans="1:12" ht="13.5" thickTop="1" x14ac:dyDescent="0.2">
      <c r="A59" s="883"/>
      <c r="B59" s="883"/>
      <c r="C59" s="883"/>
      <c r="D59" s="883"/>
      <c r="E59" s="883"/>
      <c r="F59" s="883"/>
      <c r="G59" s="883"/>
      <c r="H59" s="883"/>
      <c r="I59" s="883"/>
    </row>
    <row r="60" spans="1:12" ht="13.5" customHeight="1" x14ac:dyDescent="0.2">
      <c r="A60" s="1052"/>
      <c r="B60" s="1052"/>
      <c r="C60" s="1052"/>
      <c r="D60" s="1052"/>
      <c r="E60" s="1052"/>
      <c r="F60" s="1052"/>
      <c r="G60" s="1052"/>
      <c r="H60" s="1052"/>
      <c r="I60" s="1052"/>
    </row>
    <row r="61" spans="1:12" x14ac:dyDescent="0.2">
      <c r="A61" s="399" t="s">
        <v>212</v>
      </c>
      <c r="B61" s="166"/>
      <c r="C61" s="166"/>
      <c r="D61" s="166"/>
      <c r="E61" s="166"/>
      <c r="F61" s="166"/>
      <c r="G61" s="166"/>
      <c r="H61" s="166"/>
      <c r="I61" s="167"/>
    </row>
    <row r="62" spans="1:12" ht="14.25" x14ac:dyDescent="0.2">
      <c r="A62" s="154" t="s">
        <v>213</v>
      </c>
      <c r="B62" s="154"/>
      <c r="C62" s="154"/>
      <c r="D62" s="154"/>
      <c r="E62" s="154"/>
      <c r="F62" s="168">
        <f>F58-F63</f>
        <v>811274</v>
      </c>
      <c r="G62" s="168">
        <f>G58-G63</f>
        <v>1136118</v>
      </c>
      <c r="H62" s="168">
        <f>H58-H63</f>
        <v>775798</v>
      </c>
      <c r="I62" s="400">
        <f>H62/F62*100</f>
        <v>95.62712474453761</v>
      </c>
    </row>
    <row r="63" spans="1:12" ht="14.25" x14ac:dyDescent="0.2">
      <c r="A63" s="163" t="s">
        <v>374</v>
      </c>
      <c r="B63" s="163"/>
      <c r="C63" s="163"/>
      <c r="D63" s="168"/>
      <c r="E63" s="168"/>
      <c r="F63" s="168">
        <f>'[7]01'!E9+'[7]03'!E8+'[7]02'!E8</f>
        <v>412436</v>
      </c>
      <c r="G63" s="168">
        <f>'[7]01'!F9+'[7]03'!F8+'[7]02'!F8</f>
        <v>422464</v>
      </c>
      <c r="H63" s="168">
        <f>'[7]02'!G8+'[7]01'!G9</f>
        <v>447760</v>
      </c>
      <c r="I63" s="401">
        <f>H63/F63*100</f>
        <v>108.56472276910843</v>
      </c>
    </row>
    <row r="64" spans="1:12" ht="15.75" thickBot="1" x14ac:dyDescent="0.3">
      <c r="A64" s="402" t="s">
        <v>214</v>
      </c>
      <c r="B64" s="402"/>
      <c r="C64" s="402"/>
      <c r="D64" s="402"/>
      <c r="E64" s="402"/>
      <c r="F64" s="403">
        <f>SUM(F62:F63)</f>
        <v>1223710</v>
      </c>
      <c r="G64" s="403">
        <f>SUM(G62:G63)</f>
        <v>1558582</v>
      </c>
      <c r="H64" s="403">
        <f>SUM(H62:H63)</f>
        <v>1223558</v>
      </c>
      <c r="I64" s="404">
        <f>H64/F64*100</f>
        <v>99.987578756404702</v>
      </c>
    </row>
    <row r="65" spans="1:9" ht="13.5" thickTop="1" x14ac:dyDescent="0.2">
      <c r="A65" s="140"/>
      <c r="B65" s="140"/>
      <c r="C65" s="140"/>
    </row>
    <row r="66" spans="1:9" x14ac:dyDescent="0.2">
      <c r="A66" s="140"/>
      <c r="B66" s="140"/>
      <c r="C66" s="140"/>
    </row>
    <row r="67" spans="1:9" x14ac:dyDescent="0.2">
      <c r="A67" s="399" t="s">
        <v>212</v>
      </c>
      <c r="B67" s="166"/>
      <c r="C67" s="166"/>
      <c r="D67" s="166"/>
      <c r="E67" s="166"/>
      <c r="F67" s="166"/>
      <c r="G67" s="166"/>
      <c r="H67" s="166"/>
      <c r="I67" s="167"/>
    </row>
    <row r="68" spans="1:9" ht="14.25" x14ac:dyDescent="0.2">
      <c r="A68" s="154" t="s">
        <v>258</v>
      </c>
      <c r="B68" s="154"/>
      <c r="C68" s="154"/>
      <c r="D68" s="154"/>
      <c r="E68" s="154"/>
      <c r="F68" s="168">
        <f>SUM(F8,F11,F14,F17,F20,F23,F26,F29,F32,F35,F38,F41,F44,F47,F50,F53,F55)</f>
        <v>1214805</v>
      </c>
      <c r="G68" s="168">
        <f t="shared" ref="G68" si="5">SUM(G8,G11,G14,G17,G20,G23,G26,G29,G32,G35,G38,G41,G44,G47,G50,G53,G55)</f>
        <v>1544677</v>
      </c>
      <c r="H68" s="168">
        <f>SUM(H8,H11,H14,H17,H20,H23,H26,H29,H32,H35,H38,H41,H44,H47,H50,H53,H55)</f>
        <v>1217573</v>
      </c>
      <c r="I68" s="400">
        <f>H68/F68*100</f>
        <v>100.22785549944228</v>
      </c>
    </row>
    <row r="69" spans="1:9" ht="14.25" x14ac:dyDescent="0.2">
      <c r="A69" s="163" t="s">
        <v>259</v>
      </c>
      <c r="B69" s="163"/>
      <c r="C69" s="163"/>
      <c r="D69" s="168"/>
      <c r="E69" s="168"/>
      <c r="F69" s="168">
        <f>SUM(F9,F12,F15,F18,F21,F24,F27,F30,F33,F36,F39,F42,F45,F48,F51,,F54)</f>
        <v>8905</v>
      </c>
      <c r="G69" s="168">
        <f t="shared" ref="G69:H69" si="6">SUM(G9,G12,G15,G18,G21,G24,G27,G30,G33,G36,G39,G42,G45,G48,G51,,G54)</f>
        <v>13905</v>
      </c>
      <c r="H69" s="168">
        <f t="shared" si="6"/>
        <v>5985</v>
      </c>
      <c r="I69" s="401">
        <f>H69/F69*100</f>
        <v>67.209432902863568</v>
      </c>
    </row>
    <row r="70" spans="1:9" ht="15.75" thickBot="1" x14ac:dyDescent="0.3">
      <c r="A70" s="402" t="s">
        <v>214</v>
      </c>
      <c r="B70" s="402"/>
      <c r="C70" s="402"/>
      <c r="D70" s="402"/>
      <c r="E70" s="402"/>
      <c r="F70" s="403">
        <f>SUM(F68:F69)</f>
        <v>1223710</v>
      </c>
      <c r="G70" s="403">
        <f>SUM(G68:G69)</f>
        <v>1558582</v>
      </c>
      <c r="H70" s="403">
        <f>SUM(H68:H69)</f>
        <v>1223558</v>
      </c>
      <c r="I70" s="404">
        <f>H70/F70*100</f>
        <v>99.987578756404702</v>
      </c>
    </row>
    <row r="71" spans="1:9" ht="13.5" thickTop="1" x14ac:dyDescent="0.2">
      <c r="A71" s="140"/>
      <c r="B71" s="140"/>
      <c r="C71" s="140"/>
    </row>
    <row r="72" spans="1:9" x14ac:dyDescent="0.2">
      <c r="A72" s="140"/>
      <c r="B72" s="140"/>
      <c r="C72" s="140"/>
    </row>
    <row r="73" spans="1:9" x14ac:dyDescent="0.2">
      <c r="A73" s="142"/>
      <c r="B73" s="142"/>
      <c r="C73" s="142"/>
      <c r="D73" s="142"/>
      <c r="E73" s="142"/>
      <c r="F73" s="142"/>
      <c r="G73" s="142"/>
      <c r="H73" s="142"/>
      <c r="I73" s="142"/>
    </row>
    <row r="74" spans="1:9" x14ac:dyDescent="0.2">
      <c r="A74" s="142"/>
      <c r="B74" s="142"/>
      <c r="C74" s="142"/>
      <c r="D74" s="142"/>
      <c r="E74" s="142"/>
      <c r="F74" s="142"/>
      <c r="G74" s="142"/>
      <c r="H74" s="142"/>
      <c r="I74" s="142"/>
    </row>
    <row r="75" spans="1:9" x14ac:dyDescent="0.2">
      <c r="A75" s="142"/>
      <c r="B75" s="142"/>
      <c r="C75" s="142"/>
      <c r="D75" s="142"/>
      <c r="E75" s="142"/>
      <c r="F75" s="142"/>
      <c r="G75" s="142"/>
      <c r="H75" s="142"/>
      <c r="I75" s="142"/>
    </row>
    <row r="76" spans="1:9" x14ac:dyDescent="0.2">
      <c r="A76" s="142"/>
      <c r="B76" s="142"/>
      <c r="C76" s="142"/>
      <c r="D76" s="142"/>
      <c r="E76" s="142"/>
      <c r="F76" s="142"/>
      <c r="G76" s="142"/>
      <c r="H76" s="142"/>
      <c r="I76" s="142"/>
    </row>
    <row r="77" spans="1:9" x14ac:dyDescent="0.2">
      <c r="A77" s="142"/>
      <c r="B77" s="142"/>
      <c r="C77" s="142"/>
      <c r="D77" s="142"/>
      <c r="E77" s="142"/>
      <c r="F77" s="142"/>
      <c r="G77" s="142"/>
      <c r="H77" s="142"/>
      <c r="I77" s="142"/>
    </row>
    <row r="78" spans="1:9" x14ac:dyDescent="0.2">
      <c r="A78" s="142"/>
      <c r="B78" s="142"/>
      <c r="C78" s="142"/>
      <c r="D78" s="142"/>
      <c r="E78" s="142"/>
      <c r="F78" s="142"/>
      <c r="G78" s="142"/>
      <c r="H78" s="142"/>
      <c r="I78" s="142"/>
    </row>
    <row r="79" spans="1:9" x14ac:dyDescent="0.2">
      <c r="I79" s="140"/>
    </row>
    <row r="80" spans="1:9" x14ac:dyDescent="0.2">
      <c r="I80" s="140"/>
    </row>
    <row r="81" spans="9:9" x14ac:dyDescent="0.2">
      <c r="I81" s="140"/>
    </row>
    <row r="82" spans="9:9" x14ac:dyDescent="0.2">
      <c r="I82" s="140"/>
    </row>
    <row r="83" spans="9:9" x14ac:dyDescent="0.2">
      <c r="I83" s="140"/>
    </row>
    <row r="84" spans="9:9" x14ac:dyDescent="0.2">
      <c r="I84" s="140"/>
    </row>
    <row r="85" spans="9:9" x14ac:dyDescent="0.2">
      <c r="I85" s="140"/>
    </row>
    <row r="86" spans="9:9" x14ac:dyDescent="0.2">
      <c r="I86" s="140"/>
    </row>
    <row r="87" spans="9:9" x14ac:dyDescent="0.2">
      <c r="I87" s="140"/>
    </row>
    <row r="88" spans="9:9" x14ac:dyDescent="0.2">
      <c r="I88" s="140"/>
    </row>
    <row r="89" spans="9:9" x14ac:dyDescent="0.2">
      <c r="I89" s="140"/>
    </row>
    <row r="90" spans="9:9" x14ac:dyDescent="0.2">
      <c r="I90" s="140"/>
    </row>
    <row r="91" spans="9:9" x14ac:dyDescent="0.2">
      <c r="I91" s="140"/>
    </row>
    <row r="92" spans="9:9" x14ac:dyDescent="0.2">
      <c r="I92" s="140"/>
    </row>
    <row r="93" spans="9:9" x14ac:dyDescent="0.2">
      <c r="I93" s="140"/>
    </row>
    <row r="94" spans="9:9" x14ac:dyDescent="0.2">
      <c r="I94" s="140"/>
    </row>
    <row r="95" spans="9:9" x14ac:dyDescent="0.2">
      <c r="I95" s="140"/>
    </row>
    <row r="96" spans="9:9" x14ac:dyDescent="0.2">
      <c r="I96" s="140"/>
    </row>
    <row r="97" spans="9:9" x14ac:dyDescent="0.2">
      <c r="I97" s="140"/>
    </row>
    <row r="98" spans="9:9" x14ac:dyDescent="0.2">
      <c r="I98" s="140"/>
    </row>
    <row r="99" spans="9:9" x14ac:dyDescent="0.2">
      <c r="I99" s="140"/>
    </row>
    <row r="100" spans="9:9" x14ac:dyDescent="0.2">
      <c r="I100" s="140"/>
    </row>
    <row r="101" spans="9:9" x14ac:dyDescent="0.2">
      <c r="I101" s="140"/>
    </row>
    <row r="102" spans="9:9" x14ac:dyDescent="0.2">
      <c r="I102" s="140"/>
    </row>
    <row r="103" spans="9:9" x14ac:dyDescent="0.2">
      <c r="I103" s="140"/>
    </row>
    <row r="104" spans="9:9" x14ac:dyDescent="0.2">
      <c r="I104" s="140"/>
    </row>
    <row r="105" spans="9:9" x14ac:dyDescent="0.2">
      <c r="I105" s="140"/>
    </row>
    <row r="106" spans="9:9" x14ac:dyDescent="0.2">
      <c r="I106" s="140"/>
    </row>
    <row r="107" spans="9:9" x14ac:dyDescent="0.2">
      <c r="I107" s="140"/>
    </row>
    <row r="108" spans="9:9" x14ac:dyDescent="0.2">
      <c r="I108" s="140"/>
    </row>
    <row r="109" spans="9:9" x14ac:dyDescent="0.2">
      <c r="I109" s="140"/>
    </row>
    <row r="110" spans="9:9" x14ac:dyDescent="0.2">
      <c r="I110" s="140"/>
    </row>
    <row r="111" spans="9:9" x14ac:dyDescent="0.2">
      <c r="I111" s="140"/>
    </row>
    <row r="112" spans="9:9" x14ac:dyDescent="0.2">
      <c r="I112" s="140"/>
    </row>
    <row r="113" spans="9:9" x14ac:dyDescent="0.2">
      <c r="I113" s="140"/>
    </row>
    <row r="114" spans="9:9" x14ac:dyDescent="0.2">
      <c r="I114" s="140"/>
    </row>
    <row r="115" spans="9:9" x14ac:dyDescent="0.2">
      <c r="I115" s="140"/>
    </row>
    <row r="116" spans="9:9" x14ac:dyDescent="0.2">
      <c r="I116" s="140"/>
    </row>
    <row r="117" spans="9:9" x14ac:dyDescent="0.2">
      <c r="I117" s="140"/>
    </row>
    <row r="118" spans="9:9" x14ac:dyDescent="0.2">
      <c r="I118" s="140"/>
    </row>
    <row r="119" spans="9:9" x14ac:dyDescent="0.2">
      <c r="I119" s="140"/>
    </row>
    <row r="120" spans="9:9" x14ac:dyDescent="0.2">
      <c r="I120" s="140"/>
    </row>
    <row r="121" spans="9:9" x14ac:dyDescent="0.2">
      <c r="I121" s="140"/>
    </row>
    <row r="122" spans="9:9" x14ac:dyDescent="0.2">
      <c r="I122" s="140"/>
    </row>
    <row r="123" spans="9:9" x14ac:dyDescent="0.2">
      <c r="I123" s="140"/>
    </row>
    <row r="124" spans="9:9" x14ac:dyDescent="0.2">
      <c r="I124" s="140"/>
    </row>
    <row r="125" spans="9:9" x14ac:dyDescent="0.2">
      <c r="I125" s="140"/>
    </row>
    <row r="126" spans="9:9" x14ac:dyDescent="0.2">
      <c r="I126" s="140"/>
    </row>
    <row r="127" spans="9:9" x14ac:dyDescent="0.2">
      <c r="I127" s="140"/>
    </row>
    <row r="128" spans="9:9" x14ac:dyDescent="0.2">
      <c r="I128" s="140"/>
    </row>
    <row r="129" spans="9:9" x14ac:dyDescent="0.2">
      <c r="I129" s="140"/>
    </row>
    <row r="130" spans="9:9" x14ac:dyDescent="0.2">
      <c r="I130" s="140"/>
    </row>
    <row r="131" spans="9:9" x14ac:dyDescent="0.2">
      <c r="I131" s="140"/>
    </row>
    <row r="132" spans="9:9" x14ac:dyDescent="0.2">
      <c r="I132" s="140"/>
    </row>
    <row r="133" spans="9:9" x14ac:dyDescent="0.2">
      <c r="I133" s="140"/>
    </row>
    <row r="134" spans="9:9" x14ac:dyDescent="0.2">
      <c r="I134" s="140"/>
    </row>
    <row r="135" spans="9:9" x14ac:dyDescent="0.2">
      <c r="I135" s="140"/>
    </row>
    <row r="136" spans="9:9" x14ac:dyDescent="0.2">
      <c r="I136" s="140"/>
    </row>
    <row r="137" spans="9:9" x14ac:dyDescent="0.2">
      <c r="I137" s="140"/>
    </row>
    <row r="138" spans="9:9" x14ac:dyDescent="0.2">
      <c r="I138" s="140"/>
    </row>
    <row r="139" spans="9:9" x14ac:dyDescent="0.2">
      <c r="I139" s="140"/>
    </row>
    <row r="140" spans="9:9" x14ac:dyDescent="0.2">
      <c r="I140" s="140"/>
    </row>
    <row r="141" spans="9:9" x14ac:dyDescent="0.2">
      <c r="I141" s="140"/>
    </row>
    <row r="142" spans="9:9" x14ac:dyDescent="0.2">
      <c r="I142" s="140"/>
    </row>
    <row r="143" spans="9:9" x14ac:dyDescent="0.2">
      <c r="I143" s="140"/>
    </row>
    <row r="144" spans="9:9" x14ac:dyDescent="0.2">
      <c r="I144" s="140"/>
    </row>
    <row r="145" spans="9:9" x14ac:dyDescent="0.2">
      <c r="I145" s="140"/>
    </row>
    <row r="146" spans="9:9" x14ac:dyDescent="0.2">
      <c r="I146" s="140"/>
    </row>
    <row r="147" spans="9:9" x14ac:dyDescent="0.2">
      <c r="I147" s="140"/>
    </row>
    <row r="148" spans="9:9" x14ac:dyDescent="0.2">
      <c r="I148" s="140"/>
    </row>
    <row r="149" spans="9:9" x14ac:dyDescent="0.2">
      <c r="I149" s="140"/>
    </row>
    <row r="150" spans="9:9" x14ac:dyDescent="0.2">
      <c r="I150" s="140"/>
    </row>
    <row r="151" spans="9:9" x14ac:dyDescent="0.2">
      <c r="I151" s="140"/>
    </row>
    <row r="152" spans="9:9" x14ac:dyDescent="0.2">
      <c r="I152" s="140"/>
    </row>
    <row r="153" spans="9:9" x14ac:dyDescent="0.2">
      <c r="I153" s="140"/>
    </row>
    <row r="154" spans="9:9" x14ac:dyDescent="0.2">
      <c r="I154" s="140"/>
    </row>
    <row r="155" spans="9:9" x14ac:dyDescent="0.2">
      <c r="I155" s="140"/>
    </row>
    <row r="156" spans="9:9" x14ac:dyDescent="0.2">
      <c r="I156" s="140"/>
    </row>
    <row r="157" spans="9:9" x14ac:dyDescent="0.2">
      <c r="I157" s="140"/>
    </row>
    <row r="158" spans="9:9" x14ac:dyDescent="0.2">
      <c r="I158" s="140"/>
    </row>
    <row r="159" spans="9:9" x14ac:dyDescent="0.2">
      <c r="I159" s="140"/>
    </row>
    <row r="160" spans="9:9" x14ac:dyDescent="0.2">
      <c r="I160" s="140"/>
    </row>
    <row r="161" spans="9:9" x14ac:dyDescent="0.2">
      <c r="I161" s="140"/>
    </row>
    <row r="162" spans="9:9" x14ac:dyDescent="0.2">
      <c r="I162" s="140"/>
    </row>
    <row r="163" spans="9:9" x14ac:dyDescent="0.2">
      <c r="I163" s="140"/>
    </row>
    <row r="164" spans="9:9" x14ac:dyDescent="0.2">
      <c r="I164" s="140"/>
    </row>
    <row r="165" spans="9:9" x14ac:dyDescent="0.2">
      <c r="I165" s="140"/>
    </row>
    <row r="166" spans="9:9" x14ac:dyDescent="0.2">
      <c r="I166" s="140"/>
    </row>
    <row r="167" spans="9:9" x14ac:dyDescent="0.2">
      <c r="I167" s="140"/>
    </row>
    <row r="168" spans="9:9" x14ac:dyDescent="0.2">
      <c r="I168" s="140"/>
    </row>
    <row r="169" spans="9:9" x14ac:dyDescent="0.2">
      <c r="I169" s="140"/>
    </row>
    <row r="170" spans="9:9" x14ac:dyDescent="0.2">
      <c r="I170" s="140"/>
    </row>
    <row r="171" spans="9:9" x14ac:dyDescent="0.2">
      <c r="I171" s="140"/>
    </row>
    <row r="172" spans="9:9" x14ac:dyDescent="0.2">
      <c r="I172" s="140"/>
    </row>
    <row r="173" spans="9:9" x14ac:dyDescent="0.2">
      <c r="I173" s="140"/>
    </row>
    <row r="174" spans="9:9" x14ac:dyDescent="0.2">
      <c r="I174" s="140"/>
    </row>
    <row r="175" spans="9:9" x14ac:dyDescent="0.2">
      <c r="I175" s="140"/>
    </row>
    <row r="176" spans="9:9" x14ac:dyDescent="0.2">
      <c r="I176" s="140"/>
    </row>
    <row r="177" spans="9:9" x14ac:dyDescent="0.2">
      <c r="I177" s="140"/>
    </row>
    <row r="178" spans="9:9" x14ac:dyDescent="0.2">
      <c r="I178" s="140"/>
    </row>
    <row r="179" spans="9:9" x14ac:dyDescent="0.2">
      <c r="I179" s="140"/>
    </row>
    <row r="180" spans="9:9" x14ac:dyDescent="0.2">
      <c r="I180" s="140"/>
    </row>
    <row r="181" spans="9:9" x14ac:dyDescent="0.2">
      <c r="I181" s="140"/>
    </row>
    <row r="182" spans="9:9" x14ac:dyDescent="0.2">
      <c r="I182" s="140"/>
    </row>
    <row r="183" spans="9:9" x14ac:dyDescent="0.2">
      <c r="I183" s="140"/>
    </row>
    <row r="184" spans="9:9" x14ac:dyDescent="0.2">
      <c r="I184" s="140"/>
    </row>
    <row r="185" spans="9:9" x14ac:dyDescent="0.2">
      <c r="I185" s="140"/>
    </row>
    <row r="186" spans="9:9" x14ac:dyDescent="0.2">
      <c r="I186" s="140"/>
    </row>
    <row r="187" spans="9:9" x14ac:dyDescent="0.2">
      <c r="I187" s="140"/>
    </row>
    <row r="188" spans="9:9" x14ac:dyDescent="0.2">
      <c r="I188" s="140"/>
    </row>
    <row r="189" spans="9:9" x14ac:dyDescent="0.2">
      <c r="I189" s="140"/>
    </row>
    <row r="190" spans="9:9" x14ac:dyDescent="0.2">
      <c r="I190" s="140"/>
    </row>
    <row r="191" spans="9:9" x14ac:dyDescent="0.2">
      <c r="I191" s="140"/>
    </row>
    <row r="192" spans="9:9" x14ac:dyDescent="0.2">
      <c r="I192" s="140"/>
    </row>
    <row r="193" spans="9:9" x14ac:dyDescent="0.2">
      <c r="I193" s="140"/>
    </row>
    <row r="194" spans="9:9" x14ac:dyDescent="0.2">
      <c r="I194" s="140"/>
    </row>
    <row r="195" spans="9:9" x14ac:dyDescent="0.2">
      <c r="I195" s="140"/>
    </row>
    <row r="196" spans="9:9" x14ac:dyDescent="0.2">
      <c r="I196" s="140"/>
    </row>
    <row r="197" spans="9:9" x14ac:dyDescent="0.2">
      <c r="I197" s="140"/>
    </row>
    <row r="198" spans="9:9" x14ac:dyDescent="0.2">
      <c r="I198" s="140"/>
    </row>
    <row r="199" spans="9:9" x14ac:dyDescent="0.2">
      <c r="I199" s="140"/>
    </row>
    <row r="200" spans="9:9" x14ac:dyDescent="0.2">
      <c r="I200" s="140"/>
    </row>
    <row r="201" spans="9:9" x14ac:dyDescent="0.2">
      <c r="I201" s="140"/>
    </row>
    <row r="202" spans="9:9" x14ac:dyDescent="0.2">
      <c r="I202" s="140"/>
    </row>
    <row r="203" spans="9:9" x14ac:dyDescent="0.2">
      <c r="I203" s="140"/>
    </row>
    <row r="204" spans="9:9" x14ac:dyDescent="0.2">
      <c r="I204" s="140"/>
    </row>
    <row r="205" spans="9:9" x14ac:dyDescent="0.2">
      <c r="I205" s="140"/>
    </row>
    <row r="206" spans="9:9" x14ac:dyDescent="0.2">
      <c r="I206" s="140"/>
    </row>
    <row r="207" spans="9:9" x14ac:dyDescent="0.2">
      <c r="I207" s="140"/>
    </row>
    <row r="208" spans="9:9" x14ac:dyDescent="0.2">
      <c r="I208" s="140"/>
    </row>
    <row r="209" spans="9:9" x14ac:dyDescent="0.2">
      <c r="I209" s="140"/>
    </row>
    <row r="210" spans="9:9" x14ac:dyDescent="0.2">
      <c r="I210" s="140"/>
    </row>
    <row r="211" spans="9:9" x14ac:dyDescent="0.2">
      <c r="I211" s="140"/>
    </row>
    <row r="212" spans="9:9" x14ac:dyDescent="0.2">
      <c r="I212" s="140"/>
    </row>
    <row r="213" spans="9:9" x14ac:dyDescent="0.2">
      <c r="I213" s="140"/>
    </row>
    <row r="214" spans="9:9" x14ac:dyDescent="0.2">
      <c r="I214" s="140"/>
    </row>
    <row r="215" spans="9:9" x14ac:dyDescent="0.2">
      <c r="I215" s="140"/>
    </row>
    <row r="216" spans="9:9" x14ac:dyDescent="0.2">
      <c r="I216" s="140"/>
    </row>
    <row r="217" spans="9:9" x14ac:dyDescent="0.2">
      <c r="I217" s="140"/>
    </row>
    <row r="218" spans="9:9" x14ac:dyDescent="0.2">
      <c r="I218" s="140"/>
    </row>
    <row r="219" spans="9:9" x14ac:dyDescent="0.2">
      <c r="I219" s="140"/>
    </row>
    <row r="220" spans="9:9" x14ac:dyDescent="0.2">
      <c r="I220" s="140"/>
    </row>
    <row r="221" spans="9:9" x14ac:dyDescent="0.2">
      <c r="I221" s="140"/>
    </row>
    <row r="222" spans="9:9" x14ac:dyDescent="0.2">
      <c r="I222" s="140"/>
    </row>
    <row r="223" spans="9:9" x14ac:dyDescent="0.2">
      <c r="I223" s="140"/>
    </row>
    <row r="224" spans="9:9" x14ac:dyDescent="0.2">
      <c r="I224" s="140"/>
    </row>
    <row r="225" spans="9:9" x14ac:dyDescent="0.2">
      <c r="I225" s="140"/>
    </row>
    <row r="226" spans="9:9" x14ac:dyDescent="0.2">
      <c r="I226" s="140"/>
    </row>
    <row r="227" spans="9:9" x14ac:dyDescent="0.2">
      <c r="I227" s="140"/>
    </row>
    <row r="228" spans="9:9" x14ac:dyDescent="0.2">
      <c r="I228" s="140"/>
    </row>
    <row r="229" spans="9:9" x14ac:dyDescent="0.2">
      <c r="I229" s="140"/>
    </row>
    <row r="230" spans="9:9" x14ac:dyDescent="0.2">
      <c r="I230" s="140"/>
    </row>
    <row r="231" spans="9:9" x14ac:dyDescent="0.2">
      <c r="I231" s="140"/>
    </row>
  </sheetData>
  <mergeCells count="21">
    <mergeCell ref="A19:B19"/>
    <mergeCell ref="A22:B22"/>
    <mergeCell ref="A25:B25"/>
    <mergeCell ref="A16:B16"/>
    <mergeCell ref="A5:B5"/>
    <mergeCell ref="A6:B6"/>
    <mergeCell ref="A7:B7"/>
    <mergeCell ref="A10:B10"/>
    <mergeCell ref="A13:B13"/>
    <mergeCell ref="A28:B28"/>
    <mergeCell ref="A31:B31"/>
    <mergeCell ref="A34:B34"/>
    <mergeCell ref="A37:B37"/>
    <mergeCell ref="A40:B40"/>
    <mergeCell ref="A58:C58"/>
    <mergeCell ref="A60:I60"/>
    <mergeCell ref="A43:B43"/>
    <mergeCell ref="A46:B46"/>
    <mergeCell ref="A49:B49"/>
    <mergeCell ref="A52:B52"/>
    <mergeCell ref="A55:B55"/>
  </mergeCells>
  <pageMargins left="0.70866141732283472" right="0.70866141732283472" top="0.78740157480314965" bottom="0.78740157480314965" header="0.31496062992125984" footer="0.31496062992125984"/>
  <pageSetup paperSize="9" scale="70" firstPageNumber="11" orientation="portrait" useFirstPageNumber="1" r:id="rId1"/>
  <headerFooter>
    <oddFooter>&amp;L&amp;"-,Kurzíva"Zastupitelstvo Olomouckého kraje 11.12.2023
2.1. - Rozpočet Olomouckého kraje na rok 2024 - návrh rozpočtu
Příloha č. 1: Návrh rozpočtu OK na rok 2024 (bilance) - zkrácená verze&amp;R&amp;"-,Kurzíva"Strana &amp;P (Celkem 216)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CFFFF"/>
  </sheetPr>
  <dimension ref="A1:N130"/>
  <sheetViews>
    <sheetView view="pageBreakPreview" topLeftCell="A106" zoomScaleNormal="100" zoomScaleSheetLayoutView="100" workbookViewId="0">
      <selection activeCell="F18" sqref="F18"/>
    </sheetView>
  </sheetViews>
  <sheetFormatPr defaultColWidth="9.140625" defaultRowHeight="14.25" x14ac:dyDescent="0.2"/>
  <cols>
    <col min="1" max="1" width="18" style="581" customWidth="1"/>
    <col min="2" max="2" width="68" style="571" customWidth="1"/>
    <col min="3" max="4" width="6.7109375" style="571" customWidth="1"/>
    <col min="5" max="5" width="15.7109375" style="571" customWidth="1"/>
    <col min="6" max="7" width="15.7109375" style="572" customWidth="1"/>
    <col min="8" max="8" width="10.28515625" style="582" customWidth="1"/>
    <col min="9" max="16384" width="9.140625" style="172"/>
  </cols>
  <sheetData>
    <row r="1" spans="1:11" ht="20.25" x14ac:dyDescent="0.3">
      <c r="A1" s="553" t="s">
        <v>425</v>
      </c>
      <c r="B1" s="447"/>
      <c r="C1" s="447"/>
      <c r="D1" s="447"/>
      <c r="E1" s="447"/>
      <c r="F1" s="448"/>
      <c r="G1" s="448"/>
      <c r="H1" s="554"/>
    </row>
    <row r="2" spans="1:11" ht="15.75" x14ac:dyDescent="0.25">
      <c r="A2" s="555" t="s">
        <v>332</v>
      </c>
      <c r="B2" s="447"/>
      <c r="C2" s="447"/>
      <c r="D2" s="447"/>
      <c r="E2" s="447"/>
      <c r="F2" s="448"/>
      <c r="G2" s="448"/>
      <c r="H2" s="554"/>
    </row>
    <row r="3" spans="1:11" ht="15.75" customHeight="1" thickBot="1" x14ac:dyDescent="0.25">
      <c r="A3" s="556"/>
      <c r="B3" s="556"/>
      <c r="C3" s="556"/>
      <c r="D3" s="556"/>
      <c r="E3" s="556"/>
      <c r="F3" s="557"/>
      <c r="G3" s="557"/>
      <c r="H3" s="558" t="s">
        <v>96</v>
      </c>
    </row>
    <row r="4" spans="1:11" s="140" customFormat="1" ht="41.25" customHeight="1" thickTop="1" thickBot="1" x14ac:dyDescent="0.25">
      <c r="A4" s="559" t="s">
        <v>132</v>
      </c>
      <c r="B4" s="173"/>
      <c r="C4" s="173" t="s">
        <v>133</v>
      </c>
      <c r="D4" s="173" t="s">
        <v>119</v>
      </c>
      <c r="E4" s="147" t="s">
        <v>415</v>
      </c>
      <c r="F4" s="147" t="s">
        <v>422</v>
      </c>
      <c r="G4" s="147" t="s">
        <v>423</v>
      </c>
      <c r="H4" s="174" t="s">
        <v>2</v>
      </c>
    </row>
    <row r="5" spans="1:11" s="178" customFormat="1" ht="15" customHeight="1" thickTop="1" thickBot="1" x14ac:dyDescent="0.25">
      <c r="A5" s="1072">
        <v>1</v>
      </c>
      <c r="B5" s="1073"/>
      <c r="C5" s="175">
        <v>2</v>
      </c>
      <c r="D5" s="175">
        <v>3</v>
      </c>
      <c r="E5" s="176">
        <v>4</v>
      </c>
      <c r="F5" s="176">
        <v>5</v>
      </c>
      <c r="G5" s="176">
        <v>6</v>
      </c>
      <c r="H5" s="177" t="s">
        <v>100</v>
      </c>
    </row>
    <row r="6" spans="1:11" s="183" customFormat="1" ht="15.75" thickBot="1" x14ac:dyDescent="0.3">
      <c r="A6" s="560" t="s">
        <v>51</v>
      </c>
      <c r="B6" s="866"/>
      <c r="C6" s="179"/>
      <c r="D6" s="180">
        <v>8</v>
      </c>
      <c r="E6" s="180">
        <f>SUM(E7,E10,E14)</f>
        <v>39650</v>
      </c>
      <c r="F6" s="180">
        <f>SUM(F7,F10,F14)</f>
        <v>54851</v>
      </c>
      <c r="G6" s="180">
        <f>SUM(G7,G10,G14)</f>
        <v>43615</v>
      </c>
      <c r="H6" s="181">
        <f t="shared" ref="H6:H40" si="0">G6/E6*100</f>
        <v>110.00000000000001</v>
      </c>
      <c r="I6" s="182"/>
      <c r="J6" s="182"/>
      <c r="K6" s="182"/>
    </row>
    <row r="7" spans="1:11" s="183" customFormat="1" x14ac:dyDescent="0.2">
      <c r="A7" s="193" t="s">
        <v>134</v>
      </c>
      <c r="B7" s="561" t="s">
        <v>426</v>
      </c>
      <c r="C7" s="185"/>
      <c r="D7" s="210"/>
      <c r="E7" s="186">
        <f>SUM(E8:E9)</f>
        <v>650</v>
      </c>
      <c r="F7" s="186">
        <f t="shared" ref="F7" si="1">SUM(F8:F9)</f>
        <v>580</v>
      </c>
      <c r="G7" s="186">
        <f>SUM(G8:G9)</f>
        <v>650</v>
      </c>
      <c r="H7" s="187">
        <f t="shared" si="0"/>
        <v>100</v>
      </c>
      <c r="I7" s="182"/>
      <c r="J7" s="182"/>
      <c r="K7" s="182"/>
    </row>
    <row r="8" spans="1:11" s="183" customFormat="1" x14ac:dyDescent="0.2">
      <c r="A8" s="188" t="s">
        <v>135</v>
      </c>
      <c r="B8" s="198" t="s">
        <v>265</v>
      </c>
      <c r="C8" s="189">
        <v>430</v>
      </c>
      <c r="D8" s="198"/>
      <c r="E8" s="190">
        <f>SUM('[11]08'!I25)</f>
        <v>300</v>
      </c>
      <c r="F8" s="190">
        <f>SUM('[11]08'!J25)</f>
        <v>280</v>
      </c>
      <c r="G8" s="190">
        <f>SUM('[11]08'!G21:H21)</f>
        <v>300</v>
      </c>
      <c r="H8" s="191">
        <f>G8/E8*100</f>
        <v>100</v>
      </c>
      <c r="I8" s="182"/>
      <c r="J8" s="182"/>
      <c r="K8" s="182"/>
    </row>
    <row r="9" spans="1:11" s="183" customFormat="1" x14ac:dyDescent="0.2">
      <c r="A9" s="192"/>
      <c r="B9" s="211" t="s">
        <v>266</v>
      </c>
      <c r="C9" s="194">
        <v>431</v>
      </c>
      <c r="D9" s="211"/>
      <c r="E9" s="195">
        <f>SUM('[11]08'!I26)</f>
        <v>350</v>
      </c>
      <c r="F9" s="195">
        <f>SUM('[11]08'!J26:J27)</f>
        <v>300</v>
      </c>
      <c r="G9" s="195">
        <f>SUM('[11]08'!G22:H22)</f>
        <v>350</v>
      </c>
      <c r="H9" s="196">
        <f t="shared" si="0"/>
        <v>100</v>
      </c>
      <c r="I9" s="182"/>
      <c r="J9" s="182"/>
      <c r="K9" s="182"/>
    </row>
    <row r="10" spans="1:11" s="183" customFormat="1" x14ac:dyDescent="0.2">
      <c r="A10" s="184" t="s">
        <v>134</v>
      </c>
      <c r="B10" s="197" t="s">
        <v>427</v>
      </c>
      <c r="C10" s="185"/>
      <c r="D10" s="210"/>
      <c r="E10" s="186">
        <f>SUM(E11:E13)</f>
        <v>37000</v>
      </c>
      <c r="F10" s="186">
        <f t="shared" ref="F10:G10" si="2">SUM(F11:F13)</f>
        <v>52070</v>
      </c>
      <c r="G10" s="186">
        <f t="shared" si="2"/>
        <v>40765</v>
      </c>
      <c r="H10" s="187">
        <f t="shared" si="0"/>
        <v>110.17567567567568</v>
      </c>
      <c r="I10" s="182"/>
      <c r="J10" s="182"/>
      <c r="K10" s="182"/>
    </row>
    <row r="11" spans="1:11" s="183" customFormat="1" x14ac:dyDescent="0.2">
      <c r="A11" s="188" t="s">
        <v>135</v>
      </c>
      <c r="B11" s="198" t="s">
        <v>268</v>
      </c>
      <c r="C11" s="189">
        <v>443</v>
      </c>
      <c r="D11" s="198"/>
      <c r="E11" s="190">
        <f>SUM('[11]08'!I38)</f>
        <v>33000</v>
      </c>
      <c r="F11" s="190">
        <v>46335</v>
      </c>
      <c r="G11" s="190">
        <f>SUM('[11]08'!G30:H30)</f>
        <v>36765</v>
      </c>
      <c r="H11" s="191">
        <f>G11/E11*100</f>
        <v>111.40909090909091</v>
      </c>
      <c r="I11" s="182"/>
      <c r="J11" s="182"/>
      <c r="K11" s="182"/>
    </row>
    <row r="12" spans="1:11" s="183" customFormat="1" x14ac:dyDescent="0.2">
      <c r="A12" s="188"/>
      <c r="B12" s="198" t="s">
        <v>267</v>
      </c>
      <c r="C12" s="189">
        <v>441</v>
      </c>
      <c r="D12" s="198"/>
      <c r="E12" s="190">
        <f>SUM('[11]08'!I42)</f>
        <v>1000</v>
      </c>
      <c r="F12" s="190">
        <f>SUM('[11]08'!J42)</f>
        <v>2665</v>
      </c>
      <c r="G12" s="190">
        <f>SUM('[11]08'!G31:H31)</f>
        <v>1000</v>
      </c>
      <c r="H12" s="191">
        <f>G12/E12*100</f>
        <v>100</v>
      </c>
      <c r="I12" s="182"/>
      <c r="J12" s="182"/>
      <c r="K12" s="182"/>
    </row>
    <row r="13" spans="1:11" s="183" customFormat="1" x14ac:dyDescent="0.2">
      <c r="A13" s="192"/>
      <c r="B13" s="211" t="s">
        <v>269</v>
      </c>
      <c r="C13" s="194">
        <v>444</v>
      </c>
      <c r="D13" s="211"/>
      <c r="E13" s="195">
        <f>SUM('[11]08'!I39)</f>
        <v>3000</v>
      </c>
      <c r="F13" s="195">
        <v>3070</v>
      </c>
      <c r="G13" s="195">
        <f>SUM('[11]08'!G32:H32)</f>
        <v>3000</v>
      </c>
      <c r="H13" s="196">
        <f t="shared" si="0"/>
        <v>100</v>
      </c>
      <c r="I13" s="182"/>
      <c r="J13" s="182"/>
      <c r="K13" s="182"/>
    </row>
    <row r="14" spans="1:11" s="183" customFormat="1" x14ac:dyDescent="0.2">
      <c r="A14" s="193" t="s">
        <v>134</v>
      </c>
      <c r="B14" s="846" t="s">
        <v>428</v>
      </c>
      <c r="C14" s="256"/>
      <c r="D14" s="249"/>
      <c r="E14" s="242">
        <f>SUM(E15:E16)</f>
        <v>2000</v>
      </c>
      <c r="F14" s="242">
        <f t="shared" ref="F14:G14" si="3">SUM(F15:F16)</f>
        <v>2201</v>
      </c>
      <c r="G14" s="242">
        <f t="shared" si="3"/>
        <v>2200</v>
      </c>
      <c r="H14" s="187">
        <f t="shared" si="0"/>
        <v>110.00000000000001</v>
      </c>
      <c r="I14" s="182"/>
      <c r="J14" s="182"/>
      <c r="K14" s="182"/>
    </row>
    <row r="15" spans="1:11" s="183" customFormat="1" x14ac:dyDescent="0.2">
      <c r="A15" s="193"/>
      <c r="B15" s="847" t="s">
        <v>375</v>
      </c>
      <c r="C15" s="256">
        <v>560</v>
      </c>
      <c r="D15" s="249"/>
      <c r="E15" s="190">
        <f>SUM('[11]08'!I50)</f>
        <v>1000</v>
      </c>
      <c r="F15" s="190">
        <v>1201</v>
      </c>
      <c r="G15" s="190">
        <f>SUM('[11]08'!G50:H50)</f>
        <v>1200</v>
      </c>
      <c r="H15" s="191">
        <f t="shared" si="0"/>
        <v>120</v>
      </c>
      <c r="I15" s="182"/>
      <c r="J15" s="182"/>
      <c r="K15" s="182"/>
    </row>
    <row r="16" spans="1:11" s="183" customFormat="1" ht="15" thickBot="1" x14ac:dyDescent="0.25">
      <c r="A16" s="193"/>
      <c r="B16" s="847" t="s">
        <v>376</v>
      </c>
      <c r="C16" s="256">
        <v>561</v>
      </c>
      <c r="D16" s="249"/>
      <c r="E16" s="190">
        <v>1000</v>
      </c>
      <c r="F16" s="190">
        <v>1000</v>
      </c>
      <c r="G16" s="190">
        <f>SUM('[11]08'!G52:H52)</f>
        <v>1000</v>
      </c>
      <c r="H16" s="191">
        <f t="shared" si="0"/>
        <v>100</v>
      </c>
      <c r="I16" s="182"/>
      <c r="J16" s="182"/>
      <c r="K16" s="182"/>
    </row>
    <row r="17" spans="1:14" s="151" customFormat="1" ht="18" customHeight="1" thickBot="1" x14ac:dyDescent="0.3">
      <c r="A17" s="560" t="s">
        <v>126</v>
      </c>
      <c r="B17" s="866"/>
      <c r="C17" s="179"/>
      <c r="D17" s="180">
        <v>9</v>
      </c>
      <c r="E17" s="180">
        <f>SUM(E18,E28,E21)</f>
        <v>13988</v>
      </c>
      <c r="F17" s="180">
        <f>SUM(F18,F21,F27,F28)</f>
        <v>13988</v>
      </c>
      <c r="G17" s="180">
        <f>SUM(G18,G28,G21)</f>
        <v>14200</v>
      </c>
      <c r="H17" s="181">
        <f t="shared" si="0"/>
        <v>101.51558478696026</v>
      </c>
      <c r="I17" s="152"/>
      <c r="J17" s="152"/>
      <c r="K17" s="152"/>
      <c r="L17" s="152"/>
      <c r="M17" s="152"/>
      <c r="N17" s="152"/>
    </row>
    <row r="18" spans="1:14" ht="27" customHeight="1" x14ac:dyDescent="0.2">
      <c r="A18" s="216" t="s">
        <v>134</v>
      </c>
      <c r="B18" s="200" t="s">
        <v>429</v>
      </c>
      <c r="C18" s="201">
        <v>455</v>
      </c>
      <c r="D18" s="202"/>
      <c r="E18" s="203">
        <f>SUM('[11]09'!I21)</f>
        <v>500</v>
      </c>
      <c r="F18" s="203">
        <f>SUM('[11]09'!J21)</f>
        <v>500</v>
      </c>
      <c r="G18" s="884">
        <f>SUM('[11]09'!G17:H17)</f>
        <v>500</v>
      </c>
      <c r="H18" s="204">
        <f t="shared" si="0"/>
        <v>100</v>
      </c>
      <c r="I18" s="205"/>
      <c r="J18" s="205"/>
      <c r="K18" s="205"/>
    </row>
    <row r="19" spans="1:14" s="209" customFormat="1" ht="12.75" hidden="1" x14ac:dyDescent="0.2">
      <c r="A19" s="199"/>
      <c r="B19" s="189" t="s">
        <v>136</v>
      </c>
      <c r="C19" s="198">
        <v>455</v>
      </c>
      <c r="D19" s="198"/>
      <c r="E19" s="190">
        <v>500</v>
      </c>
      <c r="F19" s="190">
        <v>500</v>
      </c>
      <c r="G19" s="190">
        <f>SUM('[11]09'!G18:H18)</f>
        <v>300</v>
      </c>
      <c r="H19" s="191">
        <f t="shared" si="0"/>
        <v>60</v>
      </c>
    </row>
    <row r="20" spans="1:14" s="209" customFormat="1" ht="12.75" hidden="1" x14ac:dyDescent="0.2">
      <c r="A20" s="199"/>
      <c r="B20" s="189" t="s">
        <v>137</v>
      </c>
      <c r="C20" s="198">
        <v>456</v>
      </c>
      <c r="D20" s="198"/>
      <c r="E20" s="190">
        <v>500</v>
      </c>
      <c r="F20" s="190">
        <v>500</v>
      </c>
      <c r="G20" s="190">
        <f>SUM('[11]09'!G19:H19)</f>
        <v>438</v>
      </c>
      <c r="H20" s="191">
        <f t="shared" si="0"/>
        <v>87.6</v>
      </c>
    </row>
    <row r="21" spans="1:14" ht="30.75" customHeight="1" x14ac:dyDescent="0.2">
      <c r="A21" s="206" t="s">
        <v>134</v>
      </c>
      <c r="B21" s="224" t="s">
        <v>430</v>
      </c>
      <c r="C21" s="185"/>
      <c r="D21" s="210"/>
      <c r="E21" s="186">
        <f t="shared" ref="E21" si="4">SUM(E24:E26)</f>
        <v>8488</v>
      </c>
      <c r="F21" s="186">
        <f>SUM(F24:F26)</f>
        <v>7068</v>
      </c>
      <c r="G21" s="186">
        <f>SUM(G24:G26)</f>
        <v>8700</v>
      </c>
      <c r="H21" s="187">
        <f>G21/E21*100</f>
        <v>102.49764373232799</v>
      </c>
    </row>
    <row r="22" spans="1:14" s="209" customFormat="1" ht="15" hidden="1" customHeight="1" x14ac:dyDescent="0.2">
      <c r="A22" s="188"/>
      <c r="B22" s="189" t="s">
        <v>140</v>
      </c>
      <c r="C22" s="189">
        <v>467</v>
      </c>
      <c r="D22" s="198"/>
      <c r="E22" s="190">
        <v>300</v>
      </c>
      <c r="F22" s="190">
        <v>102</v>
      </c>
      <c r="G22" s="190">
        <f>SUM('[11]09'!G26:H26)</f>
        <v>250</v>
      </c>
      <c r="H22" s="191">
        <f>G22/E22*100</f>
        <v>83.333333333333343</v>
      </c>
    </row>
    <row r="23" spans="1:14" s="209" customFormat="1" ht="40.5" hidden="1" customHeight="1" x14ac:dyDescent="0.2">
      <c r="A23" s="199"/>
      <c r="B23" s="189" t="s">
        <v>141</v>
      </c>
      <c r="C23" s="189">
        <v>469</v>
      </c>
      <c r="D23" s="198"/>
      <c r="E23" s="190">
        <v>4700</v>
      </c>
      <c r="F23" s="190">
        <v>4898</v>
      </c>
      <c r="G23" s="190">
        <f>SUM('[11]09'!G27:H27)</f>
        <v>2000</v>
      </c>
      <c r="H23" s="191">
        <f>G23/E23*100</f>
        <v>42.553191489361701</v>
      </c>
    </row>
    <row r="24" spans="1:14" s="209" customFormat="1" ht="15.75" customHeight="1" x14ac:dyDescent="0.2">
      <c r="A24" s="188" t="s">
        <v>135</v>
      </c>
      <c r="B24" s="189" t="s">
        <v>431</v>
      </c>
      <c r="C24" s="189">
        <v>465</v>
      </c>
      <c r="D24" s="198"/>
      <c r="E24" s="190">
        <f>SUM('[11]09'!I33)</f>
        <v>6988</v>
      </c>
      <c r="F24" s="190">
        <v>5570</v>
      </c>
      <c r="G24" s="190">
        <f>SUM('[11]09'!G28:H28)</f>
        <v>6200</v>
      </c>
      <c r="H24" s="191">
        <f>G24/E24*100</f>
        <v>88.723526044647969</v>
      </c>
    </row>
    <row r="25" spans="1:14" s="209" customFormat="1" ht="15.75" customHeight="1" x14ac:dyDescent="0.2">
      <c r="A25" s="188"/>
      <c r="B25" s="189" t="s">
        <v>432</v>
      </c>
      <c r="C25" s="189">
        <v>467</v>
      </c>
      <c r="D25" s="198"/>
      <c r="E25" s="190">
        <v>0</v>
      </c>
      <c r="F25" s="190">
        <v>0</v>
      </c>
      <c r="G25" s="190">
        <f>SUM('[11]09'!G29:H29)</f>
        <v>1000</v>
      </c>
      <c r="H25" s="191"/>
    </row>
    <row r="26" spans="1:14" s="209" customFormat="1" ht="27" customHeight="1" x14ac:dyDescent="0.2">
      <c r="A26" s="192"/>
      <c r="B26" s="194" t="s">
        <v>433</v>
      </c>
      <c r="C26" s="194">
        <v>466</v>
      </c>
      <c r="D26" s="211"/>
      <c r="E26" s="195">
        <v>1500</v>
      </c>
      <c r="F26" s="195">
        <v>1498</v>
      </c>
      <c r="G26" s="195">
        <f>SUM('[11]09'!G30:H30)</f>
        <v>1500</v>
      </c>
      <c r="H26" s="196">
        <f>G26/E26*100</f>
        <v>100</v>
      </c>
    </row>
    <row r="27" spans="1:14" s="209" customFormat="1" ht="27" customHeight="1" x14ac:dyDescent="0.2">
      <c r="A27" s="219" t="s">
        <v>134</v>
      </c>
      <c r="B27" s="278" t="s">
        <v>434</v>
      </c>
      <c r="C27" s="885">
        <v>469</v>
      </c>
      <c r="D27" s="279"/>
      <c r="E27" s="222"/>
      <c r="F27" s="222">
        <v>1420</v>
      </c>
      <c r="G27" s="222"/>
      <c r="H27" s="223"/>
    </row>
    <row r="28" spans="1:14" ht="45" customHeight="1" thickBot="1" x14ac:dyDescent="0.25">
      <c r="A28" s="240" t="s">
        <v>134</v>
      </c>
      <c r="B28" s="247" t="s">
        <v>435</v>
      </c>
      <c r="C28" s="256">
        <v>460</v>
      </c>
      <c r="D28" s="249"/>
      <c r="E28" s="242">
        <f>SUM('[11]09'!I42)</f>
        <v>5000</v>
      </c>
      <c r="F28" s="242">
        <f>SUM('[11]09'!J42)</f>
        <v>5000</v>
      </c>
      <c r="G28" s="242">
        <f>SUM('[11]09'!G37:H37)</f>
        <v>5000</v>
      </c>
      <c r="H28" s="243">
        <f t="shared" si="0"/>
        <v>100</v>
      </c>
    </row>
    <row r="29" spans="1:14" s="209" customFormat="1" ht="28.5" hidden="1" customHeight="1" x14ac:dyDescent="0.2">
      <c r="A29" s="188" t="s">
        <v>135</v>
      </c>
      <c r="B29" s="189" t="s">
        <v>138</v>
      </c>
      <c r="C29" s="189">
        <v>460</v>
      </c>
      <c r="D29" s="198"/>
      <c r="E29" s="190">
        <v>2500</v>
      </c>
      <c r="F29" s="190">
        <v>3000</v>
      </c>
      <c r="G29" s="190">
        <f>SUM('[11]09'!G38:H38)</f>
        <v>2500</v>
      </c>
      <c r="H29" s="191">
        <f t="shared" si="0"/>
        <v>100</v>
      </c>
    </row>
    <row r="30" spans="1:14" s="209" customFormat="1" ht="30" hidden="1" customHeight="1" thickBot="1" x14ac:dyDescent="0.25">
      <c r="A30" s="192"/>
      <c r="B30" s="194" t="s">
        <v>139</v>
      </c>
      <c r="C30" s="194">
        <v>461</v>
      </c>
      <c r="D30" s="211"/>
      <c r="E30" s="195">
        <v>500</v>
      </c>
      <c r="F30" s="195">
        <v>0</v>
      </c>
      <c r="G30" s="195">
        <f>SUM('[11]09'!G40:H40)</f>
        <v>500</v>
      </c>
      <c r="H30" s="196">
        <f t="shared" si="0"/>
        <v>100</v>
      </c>
    </row>
    <row r="31" spans="1:14" s="151" customFormat="1" ht="18" customHeight="1" thickBot="1" x14ac:dyDescent="0.3">
      <c r="A31" s="560" t="s">
        <v>78</v>
      </c>
      <c r="B31" s="866"/>
      <c r="C31" s="179"/>
      <c r="D31" s="180">
        <v>10</v>
      </c>
      <c r="E31" s="180">
        <f>SUM(E32:E35)</f>
        <v>20200</v>
      </c>
      <c r="F31" s="180">
        <f t="shared" ref="F31:G31" si="5">SUM(F32:F35)</f>
        <v>20200</v>
      </c>
      <c r="G31" s="180">
        <f t="shared" si="5"/>
        <v>20900</v>
      </c>
      <c r="H31" s="181">
        <f t="shared" si="0"/>
        <v>103.46534653465346</v>
      </c>
      <c r="I31" s="152"/>
      <c r="J31" s="152"/>
      <c r="K31" s="152"/>
      <c r="L31" s="152"/>
      <c r="M31" s="152"/>
      <c r="N31" s="152"/>
    </row>
    <row r="32" spans="1:14" ht="29.25" customHeight="1" x14ac:dyDescent="0.2">
      <c r="A32" s="216" t="s">
        <v>134</v>
      </c>
      <c r="B32" s="562" t="s">
        <v>436</v>
      </c>
      <c r="C32" s="217">
        <v>485</v>
      </c>
      <c r="D32" s="218"/>
      <c r="E32" s="203">
        <f>SUM('[11]10'!I20:I23)</f>
        <v>16100</v>
      </c>
      <c r="F32" s="203">
        <f>SUM('[11]10'!J20:J23)</f>
        <v>16100</v>
      </c>
      <c r="G32" s="203">
        <f>SUM('[11]10'!G18:H18)</f>
        <v>16100</v>
      </c>
      <c r="H32" s="204">
        <f>G32/E32*100</f>
        <v>100</v>
      </c>
      <c r="I32" s="183"/>
    </row>
    <row r="33" spans="1:14" ht="29.25" customHeight="1" x14ac:dyDescent="0.2">
      <c r="A33" s="250" t="s">
        <v>134</v>
      </c>
      <c r="B33" s="563" t="s">
        <v>437</v>
      </c>
      <c r="C33" s="251">
        <v>495</v>
      </c>
      <c r="D33" s="252"/>
      <c r="E33" s="253">
        <f>SUM('[11]10'!I29)</f>
        <v>700</v>
      </c>
      <c r="F33" s="253">
        <f>SUM('[11]10'!J29)</f>
        <v>700</v>
      </c>
      <c r="G33" s="253">
        <f>SUM('[11]10'!G27:H27)</f>
        <v>700</v>
      </c>
      <c r="H33" s="254">
        <f t="shared" si="0"/>
        <v>100</v>
      </c>
    </row>
    <row r="34" spans="1:14" ht="29.25" customHeight="1" x14ac:dyDescent="0.2">
      <c r="A34" s="219" t="s">
        <v>134</v>
      </c>
      <c r="B34" s="564" t="s">
        <v>438</v>
      </c>
      <c r="C34" s="220">
        <v>510</v>
      </c>
      <c r="D34" s="221"/>
      <c r="E34" s="222">
        <f>SUM('[11]10'!I35:I36)</f>
        <v>2400</v>
      </c>
      <c r="F34" s="222">
        <f>SUM('[11]10'!J35:J36)</f>
        <v>2400</v>
      </c>
      <c r="G34" s="222">
        <f>SUM('[11]10'!G33:H33)</f>
        <v>2400</v>
      </c>
      <c r="H34" s="223">
        <f>G34/E34*100</f>
        <v>100</v>
      </c>
    </row>
    <row r="35" spans="1:14" s="183" customFormat="1" ht="28.5" customHeight="1" thickBot="1" x14ac:dyDescent="0.25">
      <c r="A35" s="219" t="s">
        <v>134</v>
      </c>
      <c r="B35" s="278" t="s">
        <v>439</v>
      </c>
      <c r="C35" s="220">
        <v>520</v>
      </c>
      <c r="D35" s="221"/>
      <c r="E35" s="222">
        <f>SUM('[11]10'!I42:I43)</f>
        <v>1000</v>
      </c>
      <c r="F35" s="222">
        <v>1000</v>
      </c>
      <c r="G35" s="222">
        <f>SUM('[11]10'!G40:H40)</f>
        <v>1700</v>
      </c>
      <c r="H35" s="223">
        <f t="shared" si="0"/>
        <v>170</v>
      </c>
      <c r="I35" s="182"/>
      <c r="J35" s="182"/>
      <c r="K35" s="182"/>
    </row>
    <row r="36" spans="1:14" s="151" customFormat="1" ht="18" customHeight="1" thickBot="1" x14ac:dyDescent="0.3">
      <c r="A36" s="560" t="s">
        <v>127</v>
      </c>
      <c r="B36" s="866"/>
      <c r="C36" s="179"/>
      <c r="D36" s="180">
        <v>11</v>
      </c>
      <c r="E36" s="180">
        <f>SUM(E37,E42,E43)</f>
        <v>60363</v>
      </c>
      <c r="F36" s="180">
        <f>SUM(F37,F42,F43)</f>
        <v>63363</v>
      </c>
      <c r="G36" s="180">
        <f>SUM(G37,G42,G43)</f>
        <v>88900</v>
      </c>
      <c r="H36" s="181">
        <f t="shared" si="0"/>
        <v>147.2756489902755</v>
      </c>
      <c r="I36" s="152"/>
      <c r="J36" s="152"/>
      <c r="K36" s="152"/>
      <c r="L36" s="152"/>
      <c r="M36" s="152"/>
      <c r="N36" s="152"/>
    </row>
    <row r="37" spans="1:14" ht="15" customHeight="1" x14ac:dyDescent="0.2">
      <c r="A37" s="184" t="s">
        <v>134</v>
      </c>
      <c r="B37" s="561" t="s">
        <v>440</v>
      </c>
      <c r="C37" s="185"/>
      <c r="D37" s="210"/>
      <c r="E37" s="186">
        <f>SUM(E38:E41)</f>
        <v>5363</v>
      </c>
      <c r="F37" s="186">
        <f>SUM(F38:F41)</f>
        <v>8363</v>
      </c>
      <c r="G37" s="186">
        <f>SUM(G38:G41)</f>
        <v>30900</v>
      </c>
      <c r="H37" s="187">
        <f t="shared" si="0"/>
        <v>576.1700540742122</v>
      </c>
    </row>
    <row r="38" spans="1:14" s="209" customFormat="1" ht="15" customHeight="1" x14ac:dyDescent="0.2">
      <c r="A38" s="188" t="s">
        <v>135</v>
      </c>
      <c r="B38" s="198" t="s">
        <v>270</v>
      </c>
      <c r="C38" s="189">
        <v>525</v>
      </c>
      <c r="D38" s="198"/>
      <c r="E38" s="190">
        <v>1500</v>
      </c>
      <c r="F38" s="190">
        <v>1500</v>
      </c>
      <c r="G38" s="190">
        <f>SUM('[11]11'!G23:H23)</f>
        <v>1650</v>
      </c>
      <c r="H38" s="191">
        <f t="shared" si="0"/>
        <v>110.00000000000001</v>
      </c>
    </row>
    <row r="39" spans="1:14" s="209" customFormat="1" ht="15" customHeight="1" x14ac:dyDescent="0.2">
      <c r="A39" s="199"/>
      <c r="B39" s="198" t="s">
        <v>271</v>
      </c>
      <c r="C39" s="189">
        <v>527</v>
      </c>
      <c r="D39" s="198"/>
      <c r="E39" s="190">
        <v>1500</v>
      </c>
      <c r="F39" s="190">
        <v>3850</v>
      </c>
      <c r="G39" s="190">
        <f>SUM('[11]11'!G24:H24)</f>
        <v>1650</v>
      </c>
      <c r="H39" s="191">
        <f t="shared" si="0"/>
        <v>110.00000000000001</v>
      </c>
    </row>
    <row r="40" spans="1:14" s="209" customFormat="1" ht="15" customHeight="1" x14ac:dyDescent="0.2">
      <c r="A40" s="199"/>
      <c r="B40" s="198" t="s">
        <v>272</v>
      </c>
      <c r="C40" s="189">
        <v>528</v>
      </c>
      <c r="D40" s="198"/>
      <c r="E40" s="190">
        <v>2363</v>
      </c>
      <c r="F40" s="190">
        <v>3013</v>
      </c>
      <c r="G40" s="190">
        <f>SUM('[11]11'!G25:H25)</f>
        <v>2600</v>
      </c>
      <c r="H40" s="191">
        <f t="shared" si="0"/>
        <v>110.02962336013542</v>
      </c>
    </row>
    <row r="41" spans="1:14" s="209" customFormat="1" ht="15.75" customHeight="1" x14ac:dyDescent="0.2">
      <c r="A41" s="199"/>
      <c r="B41" s="189" t="s">
        <v>441</v>
      </c>
      <c r="C41" s="189">
        <v>529</v>
      </c>
      <c r="D41" s="198"/>
      <c r="E41" s="190"/>
      <c r="F41" s="190"/>
      <c r="G41" s="190">
        <f>SUM('[11]11'!G27:H27)</f>
        <v>25000</v>
      </c>
      <c r="H41" s="191"/>
    </row>
    <row r="42" spans="1:14" ht="28.5" x14ac:dyDescent="0.2">
      <c r="A42" s="219" t="s">
        <v>134</v>
      </c>
      <c r="B42" s="278" t="s">
        <v>273</v>
      </c>
      <c r="C42" s="279">
        <v>530</v>
      </c>
      <c r="D42" s="280"/>
      <c r="E42" s="222">
        <v>55000</v>
      </c>
      <c r="F42" s="222">
        <v>55000</v>
      </c>
      <c r="G42" s="222">
        <v>55000</v>
      </c>
      <c r="H42" s="223">
        <f t="shared" ref="H42:H73" si="6">G42/E42*100</f>
        <v>100</v>
      </c>
      <c r="I42" s="205"/>
      <c r="J42" s="205"/>
      <c r="K42" s="205"/>
    </row>
    <row r="43" spans="1:14" ht="29.25" thickBot="1" x14ac:dyDescent="0.25">
      <c r="A43" s="193" t="s">
        <v>134</v>
      </c>
      <c r="B43" s="886" t="s">
        <v>442</v>
      </c>
      <c r="C43" s="214">
        <v>531</v>
      </c>
      <c r="D43" s="887"/>
      <c r="E43" s="888"/>
      <c r="F43" s="888"/>
      <c r="G43" s="888">
        <v>3000</v>
      </c>
      <c r="H43" s="243"/>
      <c r="I43" s="205"/>
      <c r="J43" s="205"/>
      <c r="K43" s="205"/>
    </row>
    <row r="44" spans="1:14" s="151" customFormat="1" ht="18" customHeight="1" thickBot="1" x14ac:dyDescent="0.3">
      <c r="A44" s="560" t="s">
        <v>128</v>
      </c>
      <c r="B44" s="866"/>
      <c r="C44" s="179"/>
      <c r="D44" s="180">
        <v>12</v>
      </c>
      <c r="E44" s="180">
        <f>SUM(E45:E47)</f>
        <v>20000</v>
      </c>
      <c r="F44" s="180">
        <f t="shared" ref="F44:G44" si="7">SUM(F45:F47)</f>
        <v>22726</v>
      </c>
      <c r="G44" s="180">
        <f t="shared" si="7"/>
        <v>22000</v>
      </c>
      <c r="H44" s="181">
        <f t="shared" si="6"/>
        <v>110.00000000000001</v>
      </c>
      <c r="I44" s="152"/>
      <c r="J44" s="152"/>
      <c r="K44" s="152"/>
      <c r="L44" s="152"/>
      <c r="M44" s="152"/>
      <c r="N44" s="152"/>
    </row>
    <row r="45" spans="1:14" x14ac:dyDescent="0.2">
      <c r="A45" s="226" t="s">
        <v>134</v>
      </c>
      <c r="B45" s="565" t="s">
        <v>443</v>
      </c>
      <c r="C45" s="227">
        <v>535</v>
      </c>
      <c r="D45" s="228"/>
      <c r="E45" s="229">
        <f>SUM('[11]12'!I20)</f>
        <v>11000</v>
      </c>
      <c r="F45" s="229">
        <v>12242</v>
      </c>
      <c r="G45" s="229">
        <f>SUM('[11]12'!G18:H18)</f>
        <v>12000</v>
      </c>
      <c r="H45" s="230">
        <f t="shared" si="6"/>
        <v>109.09090909090908</v>
      </c>
      <c r="I45" s="205"/>
      <c r="J45" s="205"/>
      <c r="K45" s="205"/>
    </row>
    <row r="46" spans="1:14" ht="27.75" customHeight="1" x14ac:dyDescent="0.2">
      <c r="A46" s="231" t="s">
        <v>134</v>
      </c>
      <c r="B46" s="565" t="s">
        <v>444</v>
      </c>
      <c r="C46" s="227">
        <v>590</v>
      </c>
      <c r="D46" s="228"/>
      <c r="E46" s="229">
        <f>SUM('[11]12'!I25)</f>
        <v>5000</v>
      </c>
      <c r="F46" s="229">
        <f>SUM('[11]12'!J25)</f>
        <v>9776</v>
      </c>
      <c r="G46" s="229">
        <f>SUM('[11]12'!G23:H23)</f>
        <v>6000</v>
      </c>
      <c r="H46" s="232">
        <f t="shared" si="6"/>
        <v>120</v>
      </c>
      <c r="I46" s="205"/>
      <c r="J46" s="205"/>
      <c r="K46" s="205"/>
    </row>
    <row r="47" spans="1:14" ht="29.25" customHeight="1" thickBot="1" x14ac:dyDescent="0.25">
      <c r="A47" s="233" t="s">
        <v>134</v>
      </c>
      <c r="B47" s="566" t="s">
        <v>445</v>
      </c>
      <c r="C47" s="234">
        <v>640</v>
      </c>
      <c r="D47" s="235"/>
      <c r="E47" s="236">
        <f>SUM('[11]12'!I30:I31)</f>
        <v>4000</v>
      </c>
      <c r="F47" s="236">
        <f>SUM('[11]12'!J30:J31)</f>
        <v>708</v>
      </c>
      <c r="G47" s="236">
        <f>SUM('[11]12'!G30:H30)</f>
        <v>4000</v>
      </c>
      <c r="H47" s="232">
        <f t="shared" si="6"/>
        <v>100</v>
      </c>
      <c r="I47" s="205"/>
      <c r="J47" s="205"/>
      <c r="K47" s="205"/>
    </row>
    <row r="48" spans="1:14" s="151" customFormat="1" ht="18" customHeight="1" thickBot="1" x14ac:dyDescent="0.3">
      <c r="A48" s="560" t="s">
        <v>79</v>
      </c>
      <c r="B48" s="866"/>
      <c r="C48" s="179"/>
      <c r="D48" s="180">
        <v>13</v>
      </c>
      <c r="E48" s="180">
        <f>SUM(E49,E67)</f>
        <v>176250</v>
      </c>
      <c r="F48" s="180">
        <f>SUM(F49,F67)</f>
        <v>184309</v>
      </c>
      <c r="G48" s="180">
        <f>SUM(G49,G67)</f>
        <v>191855</v>
      </c>
      <c r="H48" s="181">
        <f t="shared" si="6"/>
        <v>108.85390070921986</v>
      </c>
      <c r="I48" s="152"/>
      <c r="J48" s="152"/>
      <c r="K48" s="152"/>
      <c r="L48" s="152"/>
      <c r="M48" s="152"/>
      <c r="N48" s="152"/>
    </row>
    <row r="49" spans="1:14" s="151" customFormat="1" ht="18" customHeight="1" x14ac:dyDescent="0.25">
      <c r="A49" s="567" t="s">
        <v>142</v>
      </c>
      <c r="B49" s="889"/>
      <c r="C49" s="890"/>
      <c r="D49" s="237"/>
      <c r="E49" s="238">
        <f>SUM(E50,E55,E56,E57,E60,E61,E62,E63,E66)</f>
        <v>115250</v>
      </c>
      <c r="F49" s="238">
        <f>SUM(F50,F55,F56,F57,F60,F61,F62,F63,F66)</f>
        <v>116750</v>
      </c>
      <c r="G49" s="238">
        <f>SUM(G50,G55,G56,G57,G60,G61,G62,G63,G66)</f>
        <v>124755</v>
      </c>
      <c r="H49" s="239">
        <f t="shared" si="6"/>
        <v>108.2472885032538</v>
      </c>
      <c r="I49" s="902"/>
      <c r="J49" s="152"/>
      <c r="K49" s="152"/>
      <c r="L49" s="152"/>
      <c r="M49" s="152"/>
      <c r="N49" s="152"/>
    </row>
    <row r="50" spans="1:14" s="183" customFormat="1" ht="28.5" x14ac:dyDescent="0.2">
      <c r="A50" s="240" t="s">
        <v>134</v>
      </c>
      <c r="B50" s="247" t="s">
        <v>446</v>
      </c>
      <c r="C50" s="248"/>
      <c r="D50" s="249"/>
      <c r="E50" s="242">
        <f>SUM(E51:E54)</f>
        <v>13500</v>
      </c>
      <c r="F50" s="242">
        <f>SUM(F51:F54)</f>
        <v>18018</v>
      </c>
      <c r="G50" s="242">
        <f>SUM(G51:G54)</f>
        <v>16500</v>
      </c>
      <c r="H50" s="243">
        <f t="shared" si="6"/>
        <v>122.22222222222223</v>
      </c>
      <c r="I50" s="182"/>
      <c r="J50" s="182"/>
      <c r="K50" s="182"/>
    </row>
    <row r="51" spans="1:14" s="246" customFormat="1" ht="15.75" customHeight="1" x14ac:dyDescent="0.2">
      <c r="A51" s="199"/>
      <c r="B51" s="198" t="s">
        <v>274</v>
      </c>
      <c r="C51" s="189">
        <v>501</v>
      </c>
      <c r="D51" s="198"/>
      <c r="E51" s="190">
        <f>SUM('[11]13'!I60)</f>
        <v>9300</v>
      </c>
      <c r="F51" s="190">
        <f>SUM('[11]13'!J60)</f>
        <v>13300</v>
      </c>
      <c r="G51" s="190">
        <f>SUM('[11]13'!G55:H55)</f>
        <v>12300</v>
      </c>
      <c r="H51" s="191">
        <f t="shared" si="6"/>
        <v>132.25806451612902</v>
      </c>
      <c r="I51" s="245"/>
      <c r="J51" s="245"/>
      <c r="K51" s="245"/>
    </row>
    <row r="52" spans="1:14" s="246" customFormat="1" ht="15" customHeight="1" x14ac:dyDescent="0.2">
      <c r="A52" s="199"/>
      <c r="B52" s="198" t="s">
        <v>275</v>
      </c>
      <c r="C52" s="198">
        <v>502</v>
      </c>
      <c r="D52" s="198"/>
      <c r="E52" s="190">
        <f>SUM('[11]13'!I65)</f>
        <v>200</v>
      </c>
      <c r="F52" s="190">
        <f>SUM('[11]13'!J65:L65)</f>
        <v>200</v>
      </c>
      <c r="G52" s="190">
        <f>SUM('[11]13'!G56:H56)</f>
        <v>200</v>
      </c>
      <c r="H52" s="191">
        <f t="shared" si="6"/>
        <v>100</v>
      </c>
      <c r="I52" s="245"/>
      <c r="J52" s="245"/>
      <c r="K52" s="245"/>
    </row>
    <row r="53" spans="1:14" s="246" customFormat="1" ht="12.75" x14ac:dyDescent="0.2">
      <c r="A53" s="199"/>
      <c r="B53" s="198" t="s">
        <v>276</v>
      </c>
      <c r="C53" s="198">
        <v>503</v>
      </c>
      <c r="D53" s="198"/>
      <c r="E53" s="190">
        <f>SUM('[11]13'!I66)</f>
        <v>1500</v>
      </c>
      <c r="F53" s="190">
        <f>SUM('[11]13'!J66:L66)</f>
        <v>1500</v>
      </c>
      <c r="G53" s="190">
        <f>SUM('[11]13'!G57:H57)</f>
        <v>1500</v>
      </c>
      <c r="H53" s="191">
        <f t="shared" si="6"/>
        <v>100</v>
      </c>
      <c r="I53" s="245"/>
      <c r="J53" s="245"/>
      <c r="K53" s="245"/>
    </row>
    <row r="54" spans="1:14" s="246" customFormat="1" ht="27" customHeight="1" x14ac:dyDescent="0.2">
      <c r="A54" s="192"/>
      <c r="B54" s="194" t="s">
        <v>277</v>
      </c>
      <c r="C54" s="211">
        <v>504</v>
      </c>
      <c r="D54" s="211"/>
      <c r="E54" s="195">
        <f>SUM('[11]13'!I67)</f>
        <v>2500</v>
      </c>
      <c r="F54" s="195">
        <f>SUM('[11]13'!J67)</f>
        <v>3018</v>
      </c>
      <c r="G54" s="195">
        <f>SUM('[11]13'!G58:H58)</f>
        <v>2500</v>
      </c>
      <c r="H54" s="196">
        <f t="shared" si="6"/>
        <v>100</v>
      </c>
      <c r="I54" s="245"/>
      <c r="J54" s="245"/>
      <c r="K54" s="245"/>
    </row>
    <row r="55" spans="1:14" ht="42" customHeight="1" x14ac:dyDescent="0.2">
      <c r="A55" s="250" t="s">
        <v>134</v>
      </c>
      <c r="B55" s="563" t="s">
        <v>447</v>
      </c>
      <c r="C55" s="251">
        <v>505</v>
      </c>
      <c r="D55" s="252"/>
      <c r="E55" s="253">
        <f>SUM('[11]13'!I72)</f>
        <v>1250</v>
      </c>
      <c r="F55" s="253">
        <f>SUM('[11]13'!J72:J73)</f>
        <v>1250</v>
      </c>
      <c r="G55" s="253">
        <f>SUM('[11]13'!G70:H70)</f>
        <v>1250</v>
      </c>
      <c r="H55" s="254">
        <f t="shared" si="6"/>
        <v>100</v>
      </c>
    </row>
    <row r="56" spans="1:14" s="183" customFormat="1" ht="28.5" customHeight="1" x14ac:dyDescent="0.2">
      <c r="A56" s="219" t="s">
        <v>134</v>
      </c>
      <c r="B56" s="278" t="s">
        <v>448</v>
      </c>
      <c r="C56" s="220">
        <v>515</v>
      </c>
      <c r="D56" s="221"/>
      <c r="E56" s="222">
        <f>SUM('[11]13'!I78)</f>
        <v>3800</v>
      </c>
      <c r="F56" s="222">
        <f>SUM('[11]13'!J78)</f>
        <v>3800</v>
      </c>
      <c r="G56" s="222">
        <f>SUM('[11]13'!G76:H76)</f>
        <v>3800</v>
      </c>
      <c r="H56" s="223">
        <f t="shared" si="6"/>
        <v>100</v>
      </c>
      <c r="I56" s="182"/>
      <c r="J56" s="182"/>
      <c r="K56" s="182"/>
    </row>
    <row r="57" spans="1:14" s="183" customFormat="1" ht="26.25" customHeight="1" x14ac:dyDescent="0.2">
      <c r="A57" s="240" t="s">
        <v>134</v>
      </c>
      <c r="B57" s="568" t="s">
        <v>449</v>
      </c>
      <c r="C57" s="241"/>
      <c r="D57" s="241"/>
      <c r="E57" s="242">
        <f>SUM(E58:E59)</f>
        <v>52600</v>
      </c>
      <c r="F57" s="242">
        <f>SUM(F58:F59)</f>
        <v>52600</v>
      </c>
      <c r="G57" s="242">
        <f>SUM(G58:G59)</f>
        <v>56600</v>
      </c>
      <c r="H57" s="243">
        <f t="shared" si="6"/>
        <v>107.60456273764258</v>
      </c>
      <c r="I57" s="244"/>
      <c r="J57" s="182"/>
      <c r="K57" s="182"/>
    </row>
    <row r="58" spans="1:14" s="246" customFormat="1" ht="12.75" x14ac:dyDescent="0.2">
      <c r="A58" s="199" t="s">
        <v>135</v>
      </c>
      <c r="B58" s="198" t="s">
        <v>278</v>
      </c>
      <c r="C58" s="198">
        <v>595</v>
      </c>
      <c r="D58" s="198"/>
      <c r="E58" s="190">
        <f>SUM('[11]13'!I87)</f>
        <v>30100</v>
      </c>
      <c r="F58" s="190">
        <f>SUM('[11]13'!J87)</f>
        <v>30100</v>
      </c>
      <c r="G58" s="190">
        <f>SUM('[11]13'!G83:H83)</f>
        <v>34100</v>
      </c>
      <c r="H58" s="191">
        <f t="shared" si="6"/>
        <v>113.28903654485049</v>
      </c>
      <c r="I58" s="245"/>
      <c r="J58" s="245"/>
      <c r="K58" s="245"/>
    </row>
    <row r="59" spans="1:14" s="246" customFormat="1" ht="12.75" x14ac:dyDescent="0.2">
      <c r="A59" s="192"/>
      <c r="B59" s="211" t="s">
        <v>279</v>
      </c>
      <c r="C59" s="211">
        <v>596</v>
      </c>
      <c r="D59" s="211"/>
      <c r="E59" s="195">
        <f>SUM('[11]13'!I88)</f>
        <v>22500</v>
      </c>
      <c r="F59" s="195">
        <f>SUM('[11]13'!J88)</f>
        <v>22500</v>
      </c>
      <c r="G59" s="195">
        <f>SUM('[11]13'!G84:H84)</f>
        <v>22500</v>
      </c>
      <c r="H59" s="196">
        <f t="shared" si="6"/>
        <v>100</v>
      </c>
      <c r="I59" s="245"/>
      <c r="J59" s="245"/>
      <c r="K59" s="245"/>
    </row>
    <row r="60" spans="1:14" s="183" customFormat="1" ht="28.5" customHeight="1" x14ac:dyDescent="0.2">
      <c r="A60" s="250" t="s">
        <v>134</v>
      </c>
      <c r="B60" s="569" t="s">
        <v>450</v>
      </c>
      <c r="C60" s="251">
        <v>600</v>
      </c>
      <c r="D60" s="252"/>
      <c r="E60" s="253">
        <f>SUM('[11]13'!I93)</f>
        <v>1500</v>
      </c>
      <c r="F60" s="253">
        <f>SUM('[11]13'!J93:J94)</f>
        <v>1500</v>
      </c>
      <c r="G60" s="253">
        <f>SUM('[11]13'!G91:H91)</f>
        <v>1500</v>
      </c>
      <c r="H60" s="254">
        <f t="shared" si="6"/>
        <v>100</v>
      </c>
      <c r="I60" s="182"/>
      <c r="J60" s="182"/>
      <c r="K60" s="182"/>
    </row>
    <row r="61" spans="1:14" s="183" customFormat="1" ht="28.5" customHeight="1" x14ac:dyDescent="0.2">
      <c r="A61" s="250" t="s">
        <v>134</v>
      </c>
      <c r="B61" s="569" t="s">
        <v>451</v>
      </c>
      <c r="C61" s="251">
        <v>605</v>
      </c>
      <c r="D61" s="252"/>
      <c r="E61" s="253">
        <f>SUM('[11]13'!I99)</f>
        <v>14750</v>
      </c>
      <c r="F61" s="253">
        <f>SUM('[11]13'!J99)</f>
        <v>12000</v>
      </c>
      <c r="G61" s="253">
        <f>SUM('[11]13'!G97:H97)</f>
        <v>17250</v>
      </c>
      <c r="H61" s="254">
        <f t="shared" si="6"/>
        <v>116.94915254237289</v>
      </c>
      <c r="I61" s="182"/>
      <c r="J61" s="182"/>
      <c r="K61" s="182"/>
    </row>
    <row r="62" spans="1:14" s="183" customFormat="1" ht="42.75" customHeight="1" x14ac:dyDescent="0.2">
      <c r="A62" s="219" t="s">
        <v>134</v>
      </c>
      <c r="B62" s="278" t="s">
        <v>452</v>
      </c>
      <c r="C62" s="220">
        <v>615</v>
      </c>
      <c r="D62" s="221"/>
      <c r="E62" s="222">
        <f>SUM('[11]13'!I106)</f>
        <v>4000</v>
      </c>
      <c r="F62" s="222">
        <f>SUM('[11]13'!J106)</f>
        <v>4560</v>
      </c>
      <c r="G62" s="222">
        <f>SUM('[11]13'!G106:H106)</f>
        <v>6000</v>
      </c>
      <c r="H62" s="223">
        <f t="shared" si="6"/>
        <v>150</v>
      </c>
      <c r="I62" s="182"/>
      <c r="J62" s="182"/>
      <c r="K62" s="182"/>
    </row>
    <row r="63" spans="1:14" s="183" customFormat="1" x14ac:dyDescent="0.2">
      <c r="A63" s="193" t="s">
        <v>134</v>
      </c>
      <c r="B63" s="568" t="s">
        <v>280</v>
      </c>
      <c r="C63" s="225"/>
      <c r="D63" s="210"/>
      <c r="E63" s="186">
        <f>SUM(E64:E65)</f>
        <v>13850</v>
      </c>
      <c r="F63" s="186">
        <f>SUM(F64:F65)</f>
        <v>13850</v>
      </c>
      <c r="G63" s="186">
        <f t="shared" ref="G63" si="8">SUM(G64:G65)</f>
        <v>11855</v>
      </c>
      <c r="H63" s="187">
        <f t="shared" si="6"/>
        <v>85.595667870036095</v>
      </c>
      <c r="I63" s="182"/>
      <c r="J63" s="182"/>
      <c r="K63" s="182"/>
    </row>
    <row r="64" spans="1:14" s="246" customFormat="1" ht="12.75" x14ac:dyDescent="0.2">
      <c r="A64" s="199" t="s">
        <v>135</v>
      </c>
      <c r="B64" s="198" t="s">
        <v>281</v>
      </c>
      <c r="C64" s="198">
        <v>650</v>
      </c>
      <c r="D64" s="198"/>
      <c r="E64" s="190">
        <f>SUM('[11]13'!I115)</f>
        <v>7300</v>
      </c>
      <c r="F64" s="190">
        <f>SUM('[11]13'!J115)</f>
        <v>7300</v>
      </c>
      <c r="G64" s="190">
        <f>SUM('[11]13'!G115:H115)</f>
        <v>5397</v>
      </c>
      <c r="H64" s="191">
        <f t="shared" si="6"/>
        <v>73.93150684931507</v>
      </c>
      <c r="I64" s="245"/>
      <c r="J64" s="245"/>
      <c r="K64" s="245"/>
    </row>
    <row r="65" spans="1:14" s="246" customFormat="1" ht="12.75" x14ac:dyDescent="0.2">
      <c r="A65" s="192"/>
      <c r="B65" s="570" t="s">
        <v>282</v>
      </c>
      <c r="C65" s="211">
        <v>651</v>
      </c>
      <c r="D65" s="211"/>
      <c r="E65" s="195">
        <f>SUM('[11]13'!I116)</f>
        <v>6550</v>
      </c>
      <c r="F65" s="195">
        <f>SUM('[11]13'!J116)</f>
        <v>6550</v>
      </c>
      <c r="G65" s="195">
        <f>SUM('[11]13'!G116:H116)</f>
        <v>6458</v>
      </c>
      <c r="H65" s="196">
        <f t="shared" si="6"/>
        <v>98.595419847328245</v>
      </c>
      <c r="I65" s="245"/>
      <c r="J65" s="245"/>
      <c r="K65" s="245"/>
    </row>
    <row r="66" spans="1:14" s="183" customFormat="1" ht="44.25" customHeight="1" thickBot="1" x14ac:dyDescent="0.25">
      <c r="A66" s="848" t="s">
        <v>134</v>
      </c>
      <c r="B66" s="849" t="s">
        <v>453</v>
      </c>
      <c r="C66" s="850">
        <v>695</v>
      </c>
      <c r="D66" s="851"/>
      <c r="E66" s="852">
        <f>SUM('[11]13'!I121)</f>
        <v>10000</v>
      </c>
      <c r="F66" s="852">
        <f>SUM('[11]13'!J121)</f>
        <v>9172</v>
      </c>
      <c r="G66" s="852">
        <f>SUM('[11]13'!G119:H119)</f>
        <v>10000</v>
      </c>
      <c r="H66" s="853">
        <f t="shared" si="6"/>
        <v>100</v>
      </c>
      <c r="I66" s="182"/>
      <c r="J66" s="182"/>
      <c r="K66" s="182"/>
    </row>
    <row r="67" spans="1:14" s="151" customFormat="1" ht="18" customHeight="1" thickTop="1" x14ac:dyDescent="0.25">
      <c r="A67" s="809" t="s">
        <v>143</v>
      </c>
      <c r="B67" s="854"/>
      <c r="C67" s="855"/>
      <c r="D67" s="810"/>
      <c r="E67" s="811">
        <f>SUM(E68,E72,E73,E74,E75,E76)</f>
        <v>61000</v>
      </c>
      <c r="F67" s="811">
        <f>SUM(F68,F72,F73,F74,F75,F76)</f>
        <v>67559</v>
      </c>
      <c r="G67" s="811">
        <f t="shared" ref="G67" si="9">SUM(G68,G72,G73,G74,G75,G76)</f>
        <v>67100</v>
      </c>
      <c r="H67" s="812">
        <f t="shared" si="6"/>
        <v>110.00000000000001</v>
      </c>
      <c r="I67" s="152"/>
      <c r="J67" s="152"/>
      <c r="K67" s="152"/>
      <c r="L67" s="152"/>
      <c r="M67" s="152"/>
      <c r="N67" s="152"/>
    </row>
    <row r="68" spans="1:14" s="183" customFormat="1" x14ac:dyDescent="0.2">
      <c r="A68" s="193" t="s">
        <v>134</v>
      </c>
      <c r="B68" s="561" t="s">
        <v>454</v>
      </c>
      <c r="C68" s="248"/>
      <c r="D68" s="249"/>
      <c r="E68" s="242">
        <f>SUM(E69:E71)</f>
        <v>16500</v>
      </c>
      <c r="F68" s="242">
        <f>SUM(F69:F71)</f>
        <v>16560</v>
      </c>
      <c r="G68" s="242">
        <f t="shared" ref="G68" si="10">SUM(G69:G71)</f>
        <v>16500</v>
      </c>
      <c r="H68" s="243">
        <f t="shared" si="6"/>
        <v>100</v>
      </c>
      <c r="I68" s="182"/>
      <c r="J68" s="182"/>
      <c r="K68" s="182"/>
    </row>
    <row r="69" spans="1:14" s="246" customFormat="1" ht="12.75" x14ac:dyDescent="0.2">
      <c r="A69" s="188" t="s">
        <v>135</v>
      </c>
      <c r="B69" s="198" t="s">
        <v>283</v>
      </c>
      <c r="C69" s="189">
        <v>550</v>
      </c>
      <c r="D69" s="198"/>
      <c r="E69" s="190">
        <v>13500</v>
      </c>
      <c r="F69" s="190">
        <v>15010</v>
      </c>
      <c r="G69" s="190">
        <f>SUM('[11]13'!G127:H127)</f>
        <v>13500</v>
      </c>
      <c r="H69" s="191">
        <f t="shared" si="6"/>
        <v>100</v>
      </c>
      <c r="I69" s="245"/>
      <c r="J69" s="245"/>
      <c r="K69" s="245"/>
    </row>
    <row r="70" spans="1:14" s="246" customFormat="1" ht="12.75" x14ac:dyDescent="0.2">
      <c r="A70" s="199"/>
      <c r="B70" s="198" t="s">
        <v>284</v>
      </c>
      <c r="C70" s="189">
        <v>551</v>
      </c>
      <c r="D70" s="198"/>
      <c r="E70" s="190">
        <v>1000</v>
      </c>
      <c r="F70" s="190">
        <v>940</v>
      </c>
      <c r="G70" s="190">
        <f>SUM('[11]13'!G128:H128)</f>
        <v>1000</v>
      </c>
      <c r="H70" s="191">
        <f t="shared" si="6"/>
        <v>100</v>
      </c>
      <c r="I70" s="245"/>
      <c r="J70" s="245"/>
      <c r="K70" s="245"/>
    </row>
    <row r="71" spans="1:14" s="246" customFormat="1" ht="27" customHeight="1" x14ac:dyDescent="0.2">
      <c r="A71" s="192"/>
      <c r="B71" s="194" t="s">
        <v>285</v>
      </c>
      <c r="C71" s="194">
        <v>552</v>
      </c>
      <c r="D71" s="211"/>
      <c r="E71" s="195">
        <v>2000</v>
      </c>
      <c r="F71" s="195">
        <v>610</v>
      </c>
      <c r="G71" s="195">
        <f>SUM('[11]13'!G129:H129)</f>
        <v>2000</v>
      </c>
      <c r="H71" s="191">
        <f t="shared" si="6"/>
        <v>100</v>
      </c>
      <c r="I71" s="245"/>
      <c r="J71" s="245"/>
      <c r="K71" s="245"/>
    </row>
    <row r="72" spans="1:14" s="904" customFormat="1" x14ac:dyDescent="0.2">
      <c r="A72" s="891" t="s">
        <v>134</v>
      </c>
      <c r="B72" s="564" t="s">
        <v>455</v>
      </c>
      <c r="C72" s="220">
        <v>555</v>
      </c>
      <c r="D72" s="892"/>
      <c r="E72" s="893">
        <f>SUM('[11]13'!I142)</f>
        <v>18000</v>
      </c>
      <c r="F72" s="893">
        <f>SUM('[11]13'!F37:F40)</f>
        <v>24165</v>
      </c>
      <c r="G72" s="893">
        <f>SUM('[11]13'!G142:H142)</f>
        <v>23990</v>
      </c>
      <c r="H72" s="894">
        <f t="shared" si="6"/>
        <v>133.27777777777777</v>
      </c>
      <c r="I72" s="903"/>
      <c r="J72" s="903"/>
      <c r="K72" s="903"/>
    </row>
    <row r="73" spans="1:14" ht="29.25" customHeight="1" x14ac:dyDescent="0.2">
      <c r="A73" s="219" t="s">
        <v>134</v>
      </c>
      <c r="B73" s="564" t="s">
        <v>456</v>
      </c>
      <c r="C73" s="220">
        <v>610</v>
      </c>
      <c r="D73" s="221"/>
      <c r="E73" s="222">
        <f>SUM('[11]13'!I148)</f>
        <v>14500</v>
      </c>
      <c r="F73" s="222">
        <f>SUM('[11]13'!J148)</f>
        <v>15000</v>
      </c>
      <c r="G73" s="222">
        <f>SUM('[11]13'!G146:H146)</f>
        <v>15000</v>
      </c>
      <c r="H73" s="223">
        <f t="shared" si="6"/>
        <v>103.44827586206897</v>
      </c>
      <c r="I73" s="183"/>
    </row>
    <row r="74" spans="1:14" ht="29.25" customHeight="1" x14ac:dyDescent="0.2">
      <c r="A74" s="219" t="s">
        <v>134</v>
      </c>
      <c r="B74" s="564" t="s">
        <v>457</v>
      </c>
      <c r="C74" s="220">
        <v>620</v>
      </c>
      <c r="D74" s="221"/>
      <c r="E74" s="222"/>
      <c r="F74" s="222"/>
      <c r="G74" s="222">
        <f>SUM('[11]13'!G151:H151)</f>
        <v>1000</v>
      </c>
      <c r="H74" s="223"/>
      <c r="I74" s="183"/>
    </row>
    <row r="75" spans="1:14" ht="29.25" customHeight="1" x14ac:dyDescent="0.2">
      <c r="A75" s="219" t="s">
        <v>134</v>
      </c>
      <c r="B75" s="247" t="s">
        <v>458</v>
      </c>
      <c r="C75" s="256">
        <v>655</v>
      </c>
      <c r="D75" s="249"/>
      <c r="E75" s="242">
        <v>1000</v>
      </c>
      <c r="F75" s="242">
        <v>1224</v>
      </c>
      <c r="G75" s="242"/>
      <c r="H75" s="187"/>
      <c r="I75" s="183"/>
    </row>
    <row r="76" spans="1:14" s="183" customFormat="1" ht="15" thickBot="1" x14ac:dyDescent="0.25">
      <c r="A76" s="255" t="s">
        <v>134</v>
      </c>
      <c r="B76" s="573" t="s">
        <v>377</v>
      </c>
      <c r="C76" s="220">
        <v>670</v>
      </c>
      <c r="D76" s="221"/>
      <c r="E76" s="222">
        <v>11000</v>
      </c>
      <c r="F76" s="222">
        <v>10610</v>
      </c>
      <c r="G76" s="222">
        <f>SUM('[11]13'!G158:H158)</f>
        <v>10610</v>
      </c>
      <c r="H76" s="223"/>
      <c r="I76" s="182"/>
      <c r="J76" s="182"/>
      <c r="K76" s="182"/>
    </row>
    <row r="77" spans="1:14" ht="15" x14ac:dyDescent="0.25">
      <c r="A77" s="257" t="s">
        <v>129</v>
      </c>
      <c r="B77" s="258"/>
      <c r="C77" s="856"/>
      <c r="D77" s="258">
        <v>14</v>
      </c>
      <c r="E77" s="259">
        <f t="shared" ref="E77:F77" si="11">SUM(E78,E83,E86,E88,E89)</f>
        <v>16275</v>
      </c>
      <c r="F77" s="259">
        <f t="shared" si="11"/>
        <v>18275</v>
      </c>
      <c r="G77" s="259">
        <f>SUM(G78,G83,G86,G88,G89)</f>
        <v>19900</v>
      </c>
      <c r="H77" s="260">
        <f t="shared" ref="H77:H100" si="12">G77/E77*100</f>
        <v>122.27342549923195</v>
      </c>
    </row>
    <row r="78" spans="1:14" ht="15" customHeight="1" x14ac:dyDescent="0.2">
      <c r="A78" s="184" t="s">
        <v>134</v>
      </c>
      <c r="B78" s="197" t="s">
        <v>459</v>
      </c>
      <c r="C78" s="185"/>
      <c r="D78" s="210"/>
      <c r="E78" s="186">
        <f>SUM(E79:E82)</f>
        <v>2625</v>
      </c>
      <c r="F78" s="186">
        <f>SUM(F79:F82)</f>
        <v>2754</v>
      </c>
      <c r="G78" s="186">
        <f>SUM(G79:G82)</f>
        <v>3450</v>
      </c>
      <c r="H78" s="187">
        <f t="shared" si="12"/>
        <v>131.42857142857142</v>
      </c>
    </row>
    <row r="79" spans="1:14" s="209" customFormat="1" ht="15" customHeight="1" x14ac:dyDescent="0.2">
      <c r="A79" s="188" t="s">
        <v>135</v>
      </c>
      <c r="B79" s="189" t="s">
        <v>460</v>
      </c>
      <c r="C79" s="189">
        <v>575</v>
      </c>
      <c r="D79" s="198"/>
      <c r="E79" s="190">
        <f>SUM('[11]14'!I29)</f>
        <v>1825</v>
      </c>
      <c r="F79" s="190">
        <f>SUM('[11]14'!J29)</f>
        <v>1600</v>
      </c>
      <c r="G79" s="190">
        <f>SUM('[11]14'!G29:H29)</f>
        <v>1800</v>
      </c>
      <c r="H79" s="191">
        <f t="shared" si="12"/>
        <v>98.630136986301366</v>
      </c>
    </row>
    <row r="80" spans="1:14" s="209" customFormat="1" ht="15" customHeight="1" x14ac:dyDescent="0.2">
      <c r="A80" s="199"/>
      <c r="B80" s="189" t="s">
        <v>461</v>
      </c>
      <c r="C80" s="189">
        <v>577</v>
      </c>
      <c r="D80" s="198"/>
      <c r="E80" s="190">
        <v>300</v>
      </c>
      <c r="F80" s="190">
        <v>554</v>
      </c>
      <c r="G80" s="190">
        <f>SUM('[11]14'!G25:H25)</f>
        <v>1000</v>
      </c>
      <c r="H80" s="191">
        <f t="shared" si="12"/>
        <v>333.33333333333337</v>
      </c>
    </row>
    <row r="81" spans="1:8" s="209" customFormat="1" ht="15" customHeight="1" x14ac:dyDescent="0.2">
      <c r="A81" s="199"/>
      <c r="B81" s="189" t="s">
        <v>286</v>
      </c>
      <c r="C81" s="189">
        <v>578</v>
      </c>
      <c r="D81" s="198"/>
      <c r="E81" s="190">
        <f>SUM('[11]14'!I30)</f>
        <v>300</v>
      </c>
      <c r="F81" s="190">
        <v>400</v>
      </c>
      <c r="G81" s="190"/>
      <c r="H81" s="191">
        <f t="shared" si="12"/>
        <v>0</v>
      </c>
    </row>
    <row r="82" spans="1:8" s="209" customFormat="1" ht="16.5" customHeight="1" x14ac:dyDescent="0.2">
      <c r="A82" s="199"/>
      <c r="B82" s="189" t="s">
        <v>462</v>
      </c>
      <c r="C82" s="189">
        <v>579</v>
      </c>
      <c r="D82" s="198"/>
      <c r="E82" s="190">
        <f>SUM('[11]14'!I31)</f>
        <v>200</v>
      </c>
      <c r="F82" s="190">
        <f>SUM('[11]14'!J31)</f>
        <v>200</v>
      </c>
      <c r="G82" s="190">
        <f>SUM('[11]14'!G31:H31)</f>
        <v>650</v>
      </c>
      <c r="H82" s="191">
        <f t="shared" si="12"/>
        <v>325</v>
      </c>
    </row>
    <row r="83" spans="1:8" ht="28.5" customHeight="1" x14ac:dyDescent="0.2">
      <c r="A83" s="206" t="s">
        <v>134</v>
      </c>
      <c r="B83" s="224" t="s">
        <v>463</v>
      </c>
      <c r="C83" s="207"/>
      <c r="D83" s="210"/>
      <c r="E83" s="186">
        <f>SUM(E84:E85)</f>
        <v>2250</v>
      </c>
      <c r="F83" s="186">
        <f>SUM(F84:F85)</f>
        <v>2250</v>
      </c>
      <c r="G83" s="186">
        <f>SUM(G84:G85)</f>
        <v>2450</v>
      </c>
      <c r="H83" s="187">
        <f t="shared" si="12"/>
        <v>108.88888888888889</v>
      </c>
    </row>
    <row r="84" spans="1:8" s="209" customFormat="1" ht="15.75" customHeight="1" x14ac:dyDescent="0.2">
      <c r="A84" s="188" t="s">
        <v>135</v>
      </c>
      <c r="B84" s="189" t="s">
        <v>287</v>
      </c>
      <c r="C84" s="198">
        <v>566</v>
      </c>
      <c r="D84" s="198"/>
      <c r="E84" s="190">
        <f>SUM('[11]14'!I39)</f>
        <v>700</v>
      </c>
      <c r="F84" s="190">
        <f>SUM('[11]14'!J39,'[11]14'!L39)</f>
        <v>749</v>
      </c>
      <c r="G84" s="190">
        <f>SUM('[11]14'!G39:H39)</f>
        <v>800</v>
      </c>
      <c r="H84" s="191">
        <f t="shared" si="12"/>
        <v>114.28571428571428</v>
      </c>
    </row>
    <row r="85" spans="1:8" s="209" customFormat="1" ht="17.25" customHeight="1" x14ac:dyDescent="0.2">
      <c r="A85" s="199"/>
      <c r="B85" s="189" t="s">
        <v>288</v>
      </c>
      <c r="C85" s="198">
        <v>675</v>
      </c>
      <c r="D85" s="198"/>
      <c r="E85" s="190">
        <f>SUM('[11]14'!I40)</f>
        <v>1550</v>
      </c>
      <c r="F85" s="190">
        <v>1501</v>
      </c>
      <c r="G85" s="190">
        <f>SUM('[11]14'!G40:H40)</f>
        <v>1650</v>
      </c>
      <c r="H85" s="191">
        <f t="shared" si="12"/>
        <v>106.45161290322579</v>
      </c>
    </row>
    <row r="86" spans="1:8" s="265" customFormat="1" ht="15" customHeight="1" x14ac:dyDescent="0.2">
      <c r="A86" s="261" t="s">
        <v>134</v>
      </c>
      <c r="B86" s="262" t="s">
        <v>464</v>
      </c>
      <c r="C86" s="263">
        <v>570</v>
      </c>
      <c r="D86" s="262"/>
      <c r="E86" s="222">
        <f>SUM('[11]14'!I45)</f>
        <v>1500</v>
      </c>
      <c r="F86" s="222">
        <f>SUM('[11]14'!J45)</f>
        <v>1500</v>
      </c>
      <c r="G86" s="222">
        <f>SUM('[11]14'!G43:H43)</f>
        <v>1500</v>
      </c>
      <c r="H86" s="264">
        <f t="shared" si="12"/>
        <v>100</v>
      </c>
    </row>
    <row r="87" spans="1:8" s="265" customFormat="1" ht="30" hidden="1" customHeight="1" x14ac:dyDescent="0.2">
      <c r="A87" s="261" t="s">
        <v>134</v>
      </c>
      <c r="B87" s="895" t="s">
        <v>465</v>
      </c>
      <c r="C87" s="263">
        <v>625</v>
      </c>
      <c r="D87" s="262"/>
      <c r="E87" s="222">
        <f>SUM('[11]14'!I50)</f>
        <v>0</v>
      </c>
      <c r="F87" s="222">
        <f>SUM('[11]14'!J50)</f>
        <v>0</v>
      </c>
      <c r="G87" s="896">
        <f>SUM('[11]14'!G48:H48)</f>
        <v>0</v>
      </c>
      <c r="H87" s="264"/>
    </row>
    <row r="88" spans="1:8" s="265" customFormat="1" ht="30" customHeight="1" x14ac:dyDescent="0.2">
      <c r="A88" s="261" t="s">
        <v>134</v>
      </c>
      <c r="B88" s="897" t="s">
        <v>466</v>
      </c>
      <c r="C88" s="898">
        <v>626</v>
      </c>
      <c r="D88" s="899"/>
      <c r="E88" s="186"/>
      <c r="F88" s="186">
        <v>2000</v>
      </c>
      <c r="G88" s="186">
        <f>SUM('[11]14'!G53:H53)</f>
        <v>2000</v>
      </c>
      <c r="H88" s="900"/>
    </row>
    <row r="89" spans="1:8" s="265" customFormat="1" ht="31.5" customHeight="1" x14ac:dyDescent="0.2">
      <c r="A89" s="206" t="s">
        <v>134</v>
      </c>
      <c r="B89" s="224" t="s">
        <v>467</v>
      </c>
      <c r="C89" s="207"/>
      <c r="D89" s="210"/>
      <c r="E89" s="186">
        <f>SUM(E90:E94)</f>
        <v>9900</v>
      </c>
      <c r="F89" s="186">
        <f t="shared" ref="F89:G89" si="13">SUM(F90:F94)</f>
        <v>9771</v>
      </c>
      <c r="G89" s="186">
        <f t="shared" si="13"/>
        <v>10500</v>
      </c>
      <c r="H89" s="187">
        <f t="shared" si="12"/>
        <v>106.06060606060606</v>
      </c>
    </row>
    <row r="90" spans="1:8" s="266" customFormat="1" ht="15.75" customHeight="1" x14ac:dyDescent="0.2">
      <c r="A90" s="188" t="s">
        <v>135</v>
      </c>
      <c r="B90" s="189" t="s">
        <v>468</v>
      </c>
      <c r="C90" s="198">
        <v>660</v>
      </c>
      <c r="D90" s="198"/>
      <c r="E90" s="190">
        <f>SUM('[11]14'!I65)</f>
        <v>2300</v>
      </c>
      <c r="F90" s="190">
        <f>SUM('[11]14'!J65)</f>
        <v>1814</v>
      </c>
      <c r="G90" s="190">
        <f>SUM('[11]14'!G65:H65)</f>
        <v>2100</v>
      </c>
      <c r="H90" s="191">
        <f t="shared" si="12"/>
        <v>91.304347826086953</v>
      </c>
    </row>
    <row r="91" spans="1:8" s="905" customFormat="1" ht="15.75" customHeight="1" x14ac:dyDescent="0.2">
      <c r="A91" s="199"/>
      <c r="B91" s="857" t="s">
        <v>469</v>
      </c>
      <c r="C91" s="198">
        <v>661</v>
      </c>
      <c r="D91" s="198"/>
      <c r="E91" s="190">
        <f>SUM('[11]14'!I66)</f>
        <v>4000</v>
      </c>
      <c r="F91" s="190">
        <v>3871</v>
      </c>
      <c r="G91" s="190">
        <f>SUM('[11]14'!G66:H66)</f>
        <v>7900</v>
      </c>
      <c r="H91" s="191">
        <f t="shared" si="12"/>
        <v>197.5</v>
      </c>
    </row>
    <row r="92" spans="1:8" s="905" customFormat="1" ht="15.75" customHeight="1" x14ac:dyDescent="0.2">
      <c r="A92" s="199"/>
      <c r="B92" s="857" t="s">
        <v>379</v>
      </c>
      <c r="C92" s="198">
        <v>663</v>
      </c>
      <c r="D92" s="198"/>
      <c r="E92" s="190">
        <v>3200</v>
      </c>
      <c r="F92" s="190">
        <v>3533</v>
      </c>
      <c r="G92" s="190"/>
      <c r="H92" s="191"/>
    </row>
    <row r="93" spans="1:8" s="266" customFormat="1" ht="15.75" customHeight="1" x14ac:dyDescent="0.2">
      <c r="A93" s="199"/>
      <c r="B93" s="189" t="s">
        <v>470</v>
      </c>
      <c r="C93" s="198">
        <v>665</v>
      </c>
      <c r="D93" s="198"/>
      <c r="E93" s="190">
        <f>SUM('[11]14'!I69)</f>
        <v>200</v>
      </c>
      <c r="F93" s="190">
        <f>SUM('[11]14'!J69)</f>
        <v>200</v>
      </c>
      <c r="G93" s="190">
        <f>SUM('[11]14'!G61:H61)</f>
        <v>500</v>
      </c>
      <c r="H93" s="191">
        <f t="shared" si="12"/>
        <v>250</v>
      </c>
    </row>
    <row r="94" spans="1:8" s="266" customFormat="1" ht="30" customHeight="1" thickBot="1" x14ac:dyDescent="0.25">
      <c r="A94" s="199"/>
      <c r="B94" s="189" t="s">
        <v>378</v>
      </c>
      <c r="C94" s="198">
        <v>666</v>
      </c>
      <c r="D94" s="198"/>
      <c r="E94" s="190">
        <v>200</v>
      </c>
      <c r="F94" s="190">
        <v>353</v>
      </c>
      <c r="G94" s="190"/>
      <c r="H94" s="191">
        <f t="shared" si="12"/>
        <v>0</v>
      </c>
    </row>
    <row r="95" spans="1:8" ht="15.75" thickBot="1" x14ac:dyDescent="0.3">
      <c r="A95" s="267" t="s">
        <v>81</v>
      </c>
      <c r="B95" s="268"/>
      <c r="C95" s="858"/>
      <c r="D95" s="268">
        <v>18</v>
      </c>
      <c r="E95" s="269">
        <f>SUM(E96,E102,E105)</f>
        <v>21000</v>
      </c>
      <c r="F95" s="269">
        <f>SUM(F96,F102,F105)</f>
        <v>24280</v>
      </c>
      <c r="G95" s="269">
        <f>SUM(G96,G102,G105)</f>
        <v>24090</v>
      </c>
      <c r="H95" s="270">
        <f t="shared" si="12"/>
        <v>114.71428571428572</v>
      </c>
    </row>
    <row r="96" spans="1:8" ht="30" customHeight="1" x14ac:dyDescent="0.2">
      <c r="A96" s="240" t="s">
        <v>134</v>
      </c>
      <c r="B96" s="247" t="s">
        <v>471</v>
      </c>
      <c r="C96" s="248"/>
      <c r="D96" s="249"/>
      <c r="E96" s="242">
        <f>SUM(E97:E100)</f>
        <v>8100</v>
      </c>
      <c r="F96" s="242">
        <f>SUM(F97:F100)</f>
        <v>10100</v>
      </c>
      <c r="G96" s="242">
        <f>SUM(G97:G101)</f>
        <v>9900</v>
      </c>
      <c r="H96" s="243">
        <f t="shared" si="12"/>
        <v>122.22222222222223</v>
      </c>
    </row>
    <row r="97" spans="1:14" s="209" customFormat="1" ht="15" customHeight="1" x14ac:dyDescent="0.2">
      <c r="A97" s="188" t="s">
        <v>135</v>
      </c>
      <c r="B97" s="189" t="s">
        <v>289</v>
      </c>
      <c r="C97" s="189">
        <v>580</v>
      </c>
      <c r="D97" s="198"/>
      <c r="E97" s="190">
        <f>SUM('[11]18'!K22)</f>
        <v>1000</v>
      </c>
      <c r="F97" s="190">
        <f>SUM('[11]18'!L21:L22)</f>
        <v>1000</v>
      </c>
      <c r="G97" s="190">
        <f>SUM('[11]18'!G21:H21)</f>
        <v>1000</v>
      </c>
      <c r="H97" s="191">
        <f t="shared" si="12"/>
        <v>100</v>
      </c>
    </row>
    <row r="98" spans="1:14" s="209" customFormat="1" ht="15" customHeight="1" x14ac:dyDescent="0.2">
      <c r="A98" s="199"/>
      <c r="B98" s="189" t="s">
        <v>290</v>
      </c>
      <c r="C98" s="189">
        <v>581</v>
      </c>
      <c r="D98" s="198"/>
      <c r="E98" s="190">
        <f>SUM('[11]18'!K23:K24)</f>
        <v>400</v>
      </c>
      <c r="F98" s="190">
        <f>SUM('[11]18'!L23:L24)</f>
        <v>400</v>
      </c>
      <c r="G98" s="190">
        <f>SUM('[11]18'!G22:H22)</f>
        <v>600</v>
      </c>
      <c r="H98" s="191">
        <f t="shared" si="12"/>
        <v>150</v>
      </c>
    </row>
    <row r="99" spans="1:14" s="209" customFormat="1" ht="15" customHeight="1" x14ac:dyDescent="0.2">
      <c r="A99" s="199"/>
      <c r="B99" s="189" t="s">
        <v>291</v>
      </c>
      <c r="C99" s="189">
        <v>582</v>
      </c>
      <c r="D99" s="198"/>
      <c r="E99" s="190">
        <f>SUM('[11]18'!K26:K27)</f>
        <v>600</v>
      </c>
      <c r="F99" s="190">
        <f>SUM('[11]18'!L26:L27)</f>
        <v>600</v>
      </c>
      <c r="G99" s="190">
        <f>SUM('[11]18'!G23:H23)</f>
        <v>1200</v>
      </c>
      <c r="H99" s="191">
        <f t="shared" si="12"/>
        <v>200</v>
      </c>
    </row>
    <row r="100" spans="1:14" s="209" customFormat="1" ht="14.25" customHeight="1" x14ac:dyDescent="0.2">
      <c r="A100" s="199"/>
      <c r="B100" s="189" t="s">
        <v>292</v>
      </c>
      <c r="C100" s="189">
        <v>583</v>
      </c>
      <c r="D100" s="198"/>
      <c r="E100" s="190">
        <f>SUM('[11]18'!K28:K30)</f>
        <v>6100</v>
      </c>
      <c r="F100" s="190">
        <f>SUM('[11]18'!L28:L30)</f>
        <v>8100</v>
      </c>
      <c r="G100" s="190">
        <f>SUM('[11]18'!G24:H24)</f>
        <v>6100</v>
      </c>
      <c r="H100" s="191">
        <f t="shared" si="12"/>
        <v>100</v>
      </c>
    </row>
    <row r="101" spans="1:14" s="209" customFormat="1" ht="14.25" customHeight="1" x14ac:dyDescent="0.2">
      <c r="A101" s="192"/>
      <c r="B101" s="194" t="s">
        <v>472</v>
      </c>
      <c r="C101" s="194">
        <v>584</v>
      </c>
      <c r="D101" s="211"/>
      <c r="E101" s="195"/>
      <c r="F101" s="195"/>
      <c r="G101" s="195">
        <f>SUM('[11]18'!G25:H25)</f>
        <v>1000</v>
      </c>
      <c r="H101" s="196"/>
    </row>
    <row r="102" spans="1:14" ht="15" customHeight="1" x14ac:dyDescent="0.2">
      <c r="A102" s="193" t="s">
        <v>134</v>
      </c>
      <c r="B102" s="561" t="s">
        <v>473</v>
      </c>
      <c r="C102" s="248"/>
      <c r="D102" s="249"/>
      <c r="E102" s="242">
        <f>SUM(E103:E104)</f>
        <v>9400</v>
      </c>
      <c r="F102" s="242">
        <f>SUM(F103:F104)</f>
        <v>10271</v>
      </c>
      <c r="G102" s="242">
        <f>SUM(G103:G104)</f>
        <v>10690</v>
      </c>
      <c r="H102" s="243">
        <f t="shared" ref="H102:H108" si="14">G102/E102*100</f>
        <v>113.72340425531915</v>
      </c>
    </row>
    <row r="103" spans="1:14" s="209" customFormat="1" ht="42" customHeight="1" x14ac:dyDescent="0.2">
      <c r="A103" s="271" t="s">
        <v>135</v>
      </c>
      <c r="B103" s="189" t="s">
        <v>474</v>
      </c>
      <c r="C103" s="189">
        <v>415</v>
      </c>
      <c r="D103" s="198"/>
      <c r="E103" s="190">
        <v>6000</v>
      </c>
      <c r="F103" s="190">
        <v>7401</v>
      </c>
      <c r="G103" s="190">
        <f>SUM('[11]18'!G54:H54)</f>
        <v>6690</v>
      </c>
      <c r="H103" s="191">
        <f t="shared" si="14"/>
        <v>111.5</v>
      </c>
    </row>
    <row r="104" spans="1:14" s="209" customFormat="1" ht="26.25" customHeight="1" x14ac:dyDescent="0.2">
      <c r="A104" s="199"/>
      <c r="B104" s="189" t="s">
        <v>475</v>
      </c>
      <c r="C104" s="189">
        <v>416</v>
      </c>
      <c r="D104" s="198"/>
      <c r="E104" s="190">
        <v>3400</v>
      </c>
      <c r="F104" s="190">
        <v>2870</v>
      </c>
      <c r="G104" s="190">
        <f>SUM('[11]18'!G51:H51)</f>
        <v>4000</v>
      </c>
      <c r="H104" s="191">
        <f t="shared" si="14"/>
        <v>117.64705882352942</v>
      </c>
    </row>
    <row r="105" spans="1:14" ht="27.75" customHeight="1" x14ac:dyDescent="0.2">
      <c r="A105" s="272" t="s">
        <v>134</v>
      </c>
      <c r="B105" s="224" t="s">
        <v>476</v>
      </c>
      <c r="C105" s="207"/>
      <c r="D105" s="208"/>
      <c r="E105" s="186">
        <f>SUM(E106:E107)</f>
        <v>3500</v>
      </c>
      <c r="F105" s="186">
        <f t="shared" ref="F105:G105" si="15">SUM(F106:F107)</f>
        <v>3909</v>
      </c>
      <c r="G105" s="186">
        <f t="shared" si="15"/>
        <v>3500</v>
      </c>
      <c r="H105" s="187">
        <f t="shared" si="14"/>
        <v>100</v>
      </c>
      <c r="I105" s="205"/>
      <c r="J105" s="205"/>
      <c r="K105" s="205"/>
    </row>
    <row r="106" spans="1:14" s="209" customFormat="1" ht="28.5" customHeight="1" x14ac:dyDescent="0.2">
      <c r="A106" s="199"/>
      <c r="B106" s="189" t="s">
        <v>477</v>
      </c>
      <c r="C106" s="198">
        <v>425</v>
      </c>
      <c r="D106" s="198"/>
      <c r="E106" s="190">
        <v>2000</v>
      </c>
      <c r="F106" s="190">
        <v>2409</v>
      </c>
      <c r="G106" s="190">
        <f>SUM('[11]18'!G40:H40)</f>
        <v>2000</v>
      </c>
      <c r="H106" s="191">
        <f t="shared" si="14"/>
        <v>100</v>
      </c>
    </row>
    <row r="107" spans="1:14" s="209" customFormat="1" ht="29.25" customHeight="1" thickBot="1" x14ac:dyDescent="0.25">
      <c r="A107" s="212"/>
      <c r="B107" s="213" t="s">
        <v>478</v>
      </c>
      <c r="C107" s="214">
        <v>426</v>
      </c>
      <c r="D107" s="214"/>
      <c r="E107" s="215">
        <v>1500</v>
      </c>
      <c r="F107" s="215">
        <v>1500</v>
      </c>
      <c r="G107" s="215">
        <f>SUM('[11]18'!G41:H41)</f>
        <v>1500</v>
      </c>
      <c r="H107" s="191">
        <f t="shared" si="14"/>
        <v>100</v>
      </c>
    </row>
    <row r="108" spans="1:14" s="273" customFormat="1" ht="24" customHeight="1" thickBot="1" x14ac:dyDescent="0.3">
      <c r="A108" s="574" t="s">
        <v>144</v>
      </c>
      <c r="B108" s="901"/>
      <c r="C108" s="901"/>
      <c r="D108" s="901"/>
      <c r="E108" s="575">
        <f>SUM(E6,E17,E31,E36,E44,E48,E77,E95)</f>
        <v>367726</v>
      </c>
      <c r="F108" s="575">
        <f>SUM(F6,F17,F31,F36,F44,F48,F77,F95)</f>
        <v>401992</v>
      </c>
      <c r="G108" s="575">
        <f>SUM(G6,G17,G31,G36,G44,G48,G77,G95)</f>
        <v>425460</v>
      </c>
      <c r="H108" s="576">
        <f t="shared" si="14"/>
        <v>115.70027683655766</v>
      </c>
    </row>
    <row r="109" spans="1:14" ht="15.75" thickTop="1" thickBot="1" x14ac:dyDescent="0.25">
      <c r="A109" s="577"/>
      <c r="B109" s="249"/>
      <c r="C109" s="249"/>
      <c r="D109" s="249"/>
      <c r="E109" s="249"/>
      <c r="F109" s="440"/>
      <c r="G109" s="440"/>
      <c r="H109" s="578"/>
    </row>
    <row r="110" spans="1:14" s="151" customFormat="1" ht="18" customHeight="1" x14ac:dyDescent="0.25">
      <c r="A110" s="579" t="s">
        <v>145</v>
      </c>
      <c r="B110" s="580"/>
      <c r="C110" s="274"/>
      <c r="D110" s="275"/>
      <c r="E110" s="275">
        <f>SUM(E111)</f>
        <v>88777</v>
      </c>
      <c r="F110" s="275">
        <f>SUM(F111:F112)</f>
        <v>140549</v>
      </c>
      <c r="G110" s="275">
        <f t="shared" ref="G110" si="16">SUM(G111)</f>
        <v>128084</v>
      </c>
      <c r="H110" s="276">
        <f>G110/E110*100</f>
        <v>144.27610755037904</v>
      </c>
      <c r="I110" s="152"/>
      <c r="J110" s="152"/>
      <c r="K110" s="152"/>
      <c r="L110" s="152"/>
      <c r="M110" s="152"/>
      <c r="N110" s="152"/>
    </row>
    <row r="111" spans="1:14" s="58" customFormat="1" ht="18" customHeight="1" x14ac:dyDescent="0.2">
      <c r="A111" s="277" t="s">
        <v>134</v>
      </c>
      <c r="B111" s="278" t="s">
        <v>146</v>
      </c>
      <c r="C111" s="279">
        <v>401</v>
      </c>
      <c r="D111" s="280"/>
      <c r="E111" s="222">
        <f>SUM('[11]07 - ID'!E12)</f>
        <v>88777</v>
      </c>
      <c r="F111" s="222">
        <f>SUM('[11]07 - ID'!F12)</f>
        <v>112049</v>
      </c>
      <c r="G111" s="222">
        <f>SUM('[11]07 - ID'!G18:H18)</f>
        <v>128084</v>
      </c>
      <c r="H111" s="281">
        <f>G111/E111*100</f>
        <v>144.27610755037904</v>
      </c>
      <c r="I111" s="282"/>
      <c r="J111" s="282"/>
      <c r="K111" s="282"/>
    </row>
    <row r="112" spans="1:14" s="205" customFormat="1" ht="15" thickBot="1" x14ac:dyDescent="0.25">
      <c r="A112" s="277" t="s">
        <v>134</v>
      </c>
      <c r="B112" s="278" t="s">
        <v>479</v>
      </c>
      <c r="C112" s="279">
        <v>410</v>
      </c>
      <c r="D112" s="280"/>
      <c r="E112" s="222">
        <v>0</v>
      </c>
      <c r="F112" s="222">
        <v>28500</v>
      </c>
      <c r="G112" s="222">
        <v>0</v>
      </c>
      <c r="H112" s="281"/>
    </row>
    <row r="113" spans="1:11" s="273" customFormat="1" ht="24" customHeight="1" thickBot="1" x14ac:dyDescent="0.3">
      <c r="A113" s="283" t="s">
        <v>144</v>
      </c>
      <c r="B113" s="284"/>
      <c r="C113" s="284"/>
      <c r="D113" s="284"/>
      <c r="E113" s="269">
        <f>SUM('[26]07 - ID'!$G$18:$H$18)</f>
        <v>88777</v>
      </c>
      <c r="F113" s="269">
        <f>SUM(F110)</f>
        <v>140549</v>
      </c>
      <c r="G113" s="269">
        <f>SUM('[11]07 - ID'!G18:H18)</f>
        <v>128084</v>
      </c>
      <c r="H113" s="285">
        <f>G113/E113*100</f>
        <v>144.27610755037904</v>
      </c>
    </row>
    <row r="114" spans="1:11" ht="15.75" customHeight="1" thickBot="1" x14ac:dyDescent="0.25"/>
    <row r="115" spans="1:11" s="273" customFormat="1" ht="24" customHeight="1" thickBot="1" x14ac:dyDescent="0.3">
      <c r="A115" s="283" t="s">
        <v>144</v>
      </c>
      <c r="B115" s="284"/>
      <c r="C115" s="284"/>
      <c r="D115" s="284"/>
      <c r="E115" s="269">
        <f>SUM(E108,E113)</f>
        <v>456503</v>
      </c>
      <c r="F115" s="269">
        <f>SUM(F108,F113)</f>
        <v>542541</v>
      </c>
      <c r="G115" s="269">
        <f>SUM(G108,G113)</f>
        <v>553544</v>
      </c>
      <c r="H115" s="285">
        <f>G115/E115*100</f>
        <v>121.2574725686359</v>
      </c>
    </row>
    <row r="116" spans="1:11" x14ac:dyDescent="0.2">
      <c r="A116" s="183"/>
      <c r="B116" s="183"/>
      <c r="C116" s="183"/>
      <c r="D116" s="183"/>
      <c r="E116" s="183"/>
      <c r="F116" s="286"/>
      <c r="G116" s="286"/>
      <c r="H116" s="287"/>
      <c r="I116" s="183"/>
      <c r="J116" s="183"/>
    </row>
    <row r="117" spans="1:11" ht="15" customHeight="1" x14ac:dyDescent="0.2">
      <c r="A117" s="183"/>
      <c r="B117" s="583" t="s">
        <v>212</v>
      </c>
      <c r="C117" s="183"/>
      <c r="D117" s="183"/>
      <c r="E117" s="183"/>
      <c r="F117" s="286"/>
      <c r="G117" s="286"/>
      <c r="H117" s="287"/>
      <c r="I117" s="183"/>
      <c r="J117" s="183"/>
    </row>
    <row r="118" spans="1:11" x14ac:dyDescent="0.2">
      <c r="A118" s="183"/>
      <c r="B118" s="1074" t="s">
        <v>258</v>
      </c>
      <c r="C118" s="1074"/>
      <c r="D118" s="1074"/>
      <c r="E118" s="584">
        <f>'[11]08'!E57+'[11]09'!E49+'[11]10'!E48+'[11]11'!E51+'[11]12'!E35+'[11]13'!E165+'[11]14'!E72+'[11]18'!E63+'[11]07 - ID'!E92</f>
        <v>403353</v>
      </c>
      <c r="F118" s="584">
        <f>('[11]08'!F57+'[11]09'!F49+'[11]10'!F48+'[11]11'!F51+'[11]12'!F35+'[11]13'!F165+'[11]14'!F72+'[11]18'!F63+'[11]07 - ID'!F92)+6500</f>
        <v>423004</v>
      </c>
      <c r="G118" s="584">
        <f>'[11]08'!G57+'[11]09'!G49+'[11]10'!G48+'[11]11'!G51+'[11]12'!G35+'[11]13'!G165+'[11]14'!G72+'[11]18'!G63+'[11]07 - ID'!G92</f>
        <v>466294</v>
      </c>
      <c r="H118" s="585">
        <f>G118/E118*100</f>
        <v>115.60444573363777</v>
      </c>
      <c r="I118" s="183"/>
      <c r="J118" s="183"/>
    </row>
    <row r="119" spans="1:11" ht="15" thickBot="1" x14ac:dyDescent="0.25">
      <c r="A119" s="183"/>
      <c r="B119" s="1069" t="s">
        <v>259</v>
      </c>
      <c r="C119" s="1069"/>
      <c r="D119" s="1069"/>
      <c r="E119" s="586">
        <f>'[11]08'!E58+'[11]09'!E50+'[11]10'!E49+'[11]11'!E52+'[11]12'!E36+'[11]13'!E166+'[11]14'!E73+'[11]18'!E64+'[11]07 - ID'!E93</f>
        <v>53150</v>
      </c>
      <c r="F119" s="586">
        <f>('[11]08'!F58+'[11]09'!F50+'[11]10'!F49+'[11]11'!F52+'[11]12'!F36+'[11]13'!F166+'[11]14'!F73+'[11]18'!F64+'[11]07 - ID'!F93)+22000</f>
        <v>119537</v>
      </c>
      <c r="G119" s="586">
        <f>'[11]08'!G58+'[11]09'!G50+'[11]10'!G49+'[11]11'!G52+'[11]12'!G36+'[11]13'!G166+'[11]14'!G73+'[11]18'!G64+'[11]07 - ID'!G93</f>
        <v>87250</v>
      </c>
      <c r="H119" s="587">
        <f t="shared" ref="H119:H120" si="17">G119/E119*100</f>
        <v>164.15804327375352</v>
      </c>
      <c r="I119" s="183"/>
      <c r="J119" s="183"/>
    </row>
    <row r="120" spans="1:11" ht="15.75" thickBot="1" x14ac:dyDescent="0.3">
      <c r="A120" s="183"/>
      <c r="B120" s="1070" t="s">
        <v>214</v>
      </c>
      <c r="C120" s="1071"/>
      <c r="D120" s="1071"/>
      <c r="E120" s="588">
        <f>SUM(E118:E119)</f>
        <v>456503</v>
      </c>
      <c r="F120" s="588">
        <f t="shared" ref="F120:G120" si="18">SUM(F118:F119)</f>
        <v>542541</v>
      </c>
      <c r="G120" s="588">
        <f t="shared" si="18"/>
        <v>553544</v>
      </c>
      <c r="H120" s="589">
        <f t="shared" si="17"/>
        <v>121.2574725686359</v>
      </c>
      <c r="I120" s="183"/>
      <c r="J120" s="183"/>
    </row>
    <row r="121" spans="1:11" x14ac:dyDescent="0.2">
      <c r="A121" s="183"/>
      <c r="B121" s="183"/>
      <c r="C121" s="183"/>
      <c r="D121" s="183"/>
      <c r="E121" s="183"/>
      <c r="F121" s="286"/>
      <c r="G121" s="286"/>
      <c r="H121" s="287"/>
      <c r="I121" s="183"/>
      <c r="J121" s="183"/>
    </row>
    <row r="122" spans="1:11" x14ac:dyDescent="0.2">
      <c r="A122" s="183"/>
      <c r="B122" s="183"/>
      <c r="C122" s="183"/>
      <c r="D122" s="183"/>
      <c r="E122" s="183"/>
      <c r="F122" s="286"/>
      <c r="G122" s="286"/>
      <c r="H122" s="287"/>
      <c r="I122" s="183"/>
      <c r="J122" s="183"/>
      <c r="K122" s="183"/>
    </row>
    <row r="123" spans="1:11" x14ac:dyDescent="0.2">
      <c r="A123" s="183"/>
      <c r="B123" s="183"/>
      <c r="C123" s="183"/>
      <c r="D123" s="183"/>
      <c r="E123" s="183"/>
      <c r="F123" s="286"/>
      <c r="G123" s="286"/>
      <c r="H123" s="287"/>
      <c r="I123" s="183"/>
      <c r="J123" s="183"/>
      <c r="K123" s="183"/>
    </row>
    <row r="124" spans="1:11" x14ac:dyDescent="0.2">
      <c r="A124" s="183"/>
      <c r="B124" s="183"/>
      <c r="C124" s="183"/>
      <c r="D124" s="183"/>
      <c r="E124" s="183"/>
      <c r="F124" s="286"/>
      <c r="G124" s="286"/>
      <c r="H124" s="287"/>
      <c r="I124" s="183"/>
      <c r="J124" s="183"/>
      <c r="K124" s="183"/>
    </row>
    <row r="125" spans="1:11" x14ac:dyDescent="0.2">
      <c r="A125" s="183"/>
      <c r="B125" s="183"/>
      <c r="C125" s="183"/>
      <c r="D125" s="183"/>
      <c r="E125" s="183"/>
      <c r="F125" s="286"/>
      <c r="G125" s="286"/>
      <c r="H125" s="287"/>
      <c r="I125" s="183"/>
      <c r="J125" s="183"/>
      <c r="K125" s="183"/>
    </row>
    <row r="126" spans="1:11" x14ac:dyDescent="0.2">
      <c r="A126" s="183"/>
      <c r="B126" s="183"/>
      <c r="C126" s="183"/>
      <c r="D126" s="183"/>
      <c r="E126" s="183"/>
      <c r="F126" s="286"/>
      <c r="G126" s="286"/>
      <c r="H126" s="287"/>
      <c r="I126" s="183"/>
      <c r="J126" s="183"/>
      <c r="K126" s="183"/>
    </row>
    <row r="127" spans="1:11" x14ac:dyDescent="0.2">
      <c r="A127" s="183"/>
      <c r="B127" s="183"/>
      <c r="C127" s="183"/>
      <c r="D127" s="183"/>
      <c r="E127" s="183"/>
      <c r="F127" s="286"/>
      <c r="G127" s="286"/>
      <c r="H127" s="287"/>
      <c r="I127" s="183"/>
      <c r="J127" s="183"/>
      <c r="K127" s="183"/>
    </row>
    <row r="128" spans="1:11" x14ac:dyDescent="0.2">
      <c r="A128" s="183"/>
      <c r="B128" s="183"/>
      <c r="C128" s="183"/>
      <c r="D128" s="183"/>
      <c r="E128" s="183"/>
      <c r="F128" s="286"/>
      <c r="G128" s="286"/>
      <c r="H128" s="287"/>
      <c r="I128" s="183"/>
      <c r="J128" s="183"/>
      <c r="K128" s="183"/>
    </row>
    <row r="129" spans="1:11" x14ac:dyDescent="0.2">
      <c r="A129" s="183"/>
      <c r="B129" s="183"/>
      <c r="C129" s="183"/>
      <c r="D129" s="183"/>
      <c r="E129" s="183"/>
      <c r="F129" s="286"/>
      <c r="G129" s="286"/>
      <c r="H129" s="287"/>
      <c r="I129" s="183"/>
      <c r="J129" s="183"/>
      <c r="K129" s="183"/>
    </row>
    <row r="130" spans="1:11" x14ac:dyDescent="0.2">
      <c r="A130" s="183"/>
      <c r="B130" s="183"/>
      <c r="C130" s="183"/>
      <c r="D130" s="183"/>
      <c r="E130" s="183"/>
      <c r="F130" s="286"/>
      <c r="G130" s="286"/>
      <c r="H130" s="287"/>
      <c r="I130" s="183"/>
      <c r="J130" s="183"/>
      <c r="K130" s="183"/>
    </row>
  </sheetData>
  <mergeCells count="4">
    <mergeCell ref="B119:D119"/>
    <mergeCell ref="B120:D120"/>
    <mergeCell ref="A5:B5"/>
    <mergeCell ref="B118:D118"/>
  </mergeCells>
  <pageMargins left="0.70866141732283472" right="0.70866141732283472" top="0.78740157480314965" bottom="0.78740157480314965" header="0.31496062992125984" footer="0.31496062992125984"/>
  <pageSetup paperSize="9" scale="55" firstPageNumber="13" orientation="portrait" useFirstPageNumber="1" r:id="rId1"/>
  <headerFooter>
    <oddFooter>&amp;L&amp;"-,Kurzíva"Zastupitelstvo Olomouckého kraje 11.12.2023
2.1. - Rozpočet Olomouckého kraje na rok 2024 - návrh rozpočtu
Příloha č. 1: Návrh rozpočtu OK na rok 2024 (bilance) - zkrácená verze&amp;R&amp;"-,Kurzíva"Strana &amp;P (Celkem 216)</oddFooter>
  </headerFooter>
  <rowBreaks count="1" manualBreakCount="1">
    <brk id="62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CFFFF"/>
    <pageSetUpPr fitToPage="1"/>
  </sheetPr>
  <dimension ref="A1:P111"/>
  <sheetViews>
    <sheetView showGridLines="0" view="pageBreakPreview" topLeftCell="C51" zoomScaleNormal="90" zoomScaleSheetLayoutView="100" workbookViewId="0">
      <selection activeCell="F18" sqref="F18"/>
    </sheetView>
  </sheetViews>
  <sheetFormatPr defaultColWidth="9.140625" defaultRowHeight="12.75" x14ac:dyDescent="0.2"/>
  <cols>
    <col min="1" max="2" width="3.140625" style="590" hidden="1" customWidth="1"/>
    <col min="3" max="3" width="0.85546875" style="590" customWidth="1"/>
    <col min="4" max="4" width="64.7109375" style="590" customWidth="1"/>
    <col min="5" max="5" width="7.140625" style="591" customWidth="1"/>
    <col min="6" max="6" width="7.85546875" style="591" customWidth="1"/>
    <col min="7" max="7" width="15.7109375" style="591" hidden="1" customWidth="1"/>
    <col min="8" max="9" width="20.7109375" style="590" customWidth="1"/>
    <col min="10" max="10" width="33.140625" style="590" hidden="1" customWidth="1"/>
    <col min="11" max="11" width="20.7109375" style="140" customWidth="1"/>
    <col min="12" max="13" width="20.7109375" style="142" customWidth="1"/>
    <col min="14" max="14" width="12.7109375" style="142" hidden="1" customWidth="1"/>
    <col min="15" max="16" width="2.85546875" style="590" customWidth="1"/>
    <col min="17" max="16384" width="9.140625" style="590"/>
  </cols>
  <sheetData>
    <row r="1" spans="1:14" hidden="1" x14ac:dyDescent="0.2"/>
    <row r="2" spans="1:14" s="289" customFormat="1" ht="20.25" x14ac:dyDescent="0.3">
      <c r="D2" s="291" t="s">
        <v>505</v>
      </c>
      <c r="E2" s="592"/>
      <c r="F2" s="292"/>
      <c r="G2" s="292"/>
      <c r="H2" s="291"/>
      <c r="I2" s="293"/>
      <c r="J2" s="293"/>
      <c r="K2" s="294"/>
      <c r="L2" s="295"/>
      <c r="M2" s="296"/>
      <c r="N2" s="296"/>
    </row>
    <row r="3" spans="1:14" s="289" customFormat="1" ht="15.75" x14ac:dyDescent="0.25">
      <c r="D3" s="297" t="s">
        <v>189</v>
      </c>
      <c r="E3" s="593"/>
      <c r="F3" s="292"/>
      <c r="G3" s="292"/>
      <c r="H3" s="297"/>
      <c r="I3" s="293"/>
      <c r="J3" s="293"/>
      <c r="K3" s="298"/>
      <c r="L3" s="295"/>
      <c r="M3" s="299"/>
      <c r="N3" s="299"/>
    </row>
    <row r="4" spans="1:14" s="289" customFormat="1" ht="13.5" thickBot="1" x14ac:dyDescent="0.25">
      <c r="E4" s="290"/>
      <c r="F4" s="290"/>
      <c r="G4" s="290"/>
      <c r="I4" s="293"/>
      <c r="J4" s="293"/>
      <c r="K4" s="300"/>
      <c r="L4" s="1099" t="s">
        <v>0</v>
      </c>
      <c r="M4" s="1099"/>
      <c r="N4" s="300"/>
    </row>
    <row r="5" spans="1:14" s="289" customFormat="1" ht="26.1" customHeight="1" x14ac:dyDescent="0.25">
      <c r="D5" s="301"/>
      <c r="E5" s="594"/>
      <c r="F5" s="302"/>
      <c r="G5" s="303">
        <v>2015</v>
      </c>
      <c r="H5" s="1096">
        <v>2023</v>
      </c>
      <c r="I5" s="1097"/>
      <c r="J5" s="1098"/>
      <c r="K5" s="906">
        <v>2024</v>
      </c>
      <c r="L5" s="1096" t="s">
        <v>481</v>
      </c>
      <c r="M5" s="1100"/>
      <c r="N5" s="140"/>
    </row>
    <row r="6" spans="1:14" s="289" customFormat="1" ht="12.75" customHeight="1" x14ac:dyDescent="0.2">
      <c r="D6" s="1101" t="s">
        <v>147</v>
      </c>
      <c r="E6" s="1103" t="s">
        <v>119</v>
      </c>
      <c r="F6" s="1103" t="s">
        <v>133</v>
      </c>
      <c r="G6" s="1083" t="s">
        <v>148</v>
      </c>
      <c r="H6" s="1085" t="s">
        <v>149</v>
      </c>
      <c r="I6" s="1087" t="s">
        <v>482</v>
      </c>
      <c r="J6" s="1089" t="s">
        <v>150</v>
      </c>
      <c r="K6" s="1091" t="s">
        <v>151</v>
      </c>
      <c r="L6" s="1105" t="s">
        <v>333</v>
      </c>
      <c r="M6" s="1094" t="s">
        <v>152</v>
      </c>
      <c r="N6" s="140"/>
    </row>
    <row r="7" spans="1:14" s="289" customFormat="1" ht="34.5" customHeight="1" thickBot="1" x14ac:dyDescent="0.25">
      <c r="D7" s="1102"/>
      <c r="E7" s="1104"/>
      <c r="F7" s="1104"/>
      <c r="G7" s="1084"/>
      <c r="H7" s="1086"/>
      <c r="I7" s="1088"/>
      <c r="J7" s="1090"/>
      <c r="K7" s="1084"/>
      <c r="L7" s="1106"/>
      <c r="M7" s="1095"/>
      <c r="N7" s="140"/>
    </row>
    <row r="8" spans="1:14" s="289" customFormat="1" ht="14.25" thickTop="1" thickBot="1" x14ac:dyDescent="0.25">
      <c r="D8" s="304"/>
      <c r="E8" s="595"/>
      <c r="F8" s="305"/>
      <c r="G8" s="306" t="s">
        <v>153</v>
      </c>
      <c r="H8" s="307" t="s">
        <v>153</v>
      </c>
      <c r="I8" s="596" t="s">
        <v>154</v>
      </c>
      <c r="J8" s="309" t="s">
        <v>155</v>
      </c>
      <c r="K8" s="306" t="s">
        <v>156</v>
      </c>
      <c r="L8" s="310" t="s">
        <v>157</v>
      </c>
      <c r="M8" s="311" t="s">
        <v>158</v>
      </c>
    </row>
    <row r="9" spans="1:14" s="289" customFormat="1" ht="24.95" customHeight="1" x14ac:dyDescent="0.2">
      <c r="A9" s="312"/>
      <c r="B9" s="312"/>
      <c r="C9" s="312"/>
      <c r="D9" s="313" t="s">
        <v>159</v>
      </c>
      <c r="E9" s="597" t="s">
        <v>234</v>
      </c>
      <c r="F9" s="314"/>
      <c r="G9" s="315" t="e">
        <f>SUM(G10:G16)</f>
        <v>#REF!</v>
      </c>
      <c r="H9" s="319">
        <f>SUM(H10:H16)</f>
        <v>580419</v>
      </c>
      <c r="I9" s="362">
        <f>SUM(I10:I16)</f>
        <v>576350</v>
      </c>
      <c r="J9" s="317">
        <f>SUM(J10:J16)</f>
        <v>363748</v>
      </c>
      <c r="K9" s="318">
        <f>SUM(K10:K16)</f>
        <v>508799</v>
      </c>
      <c r="L9" s="319">
        <f t="shared" ref="L9:L34" si="0">K9-H9</f>
        <v>-71620</v>
      </c>
      <c r="M9" s="320">
        <f t="shared" ref="M9:M23" si="1">K9/H9-1</f>
        <v>-0.12339361736952104</v>
      </c>
      <c r="N9" s="321"/>
    </row>
    <row r="10" spans="1:14" s="289" customFormat="1" ht="17.100000000000001" customHeight="1" x14ac:dyDescent="0.2">
      <c r="A10" s="312"/>
      <c r="B10" s="312"/>
      <c r="C10" s="312"/>
      <c r="D10" s="322" t="s">
        <v>160</v>
      </c>
      <c r="E10" s="598"/>
      <c r="F10" s="323" t="s">
        <v>161</v>
      </c>
      <c r="G10" s="324">
        <f>SUM('[14]Celkem školství'!C12)</f>
        <v>275519</v>
      </c>
      <c r="H10" s="328">
        <f>SUM('[14]Celkem školství'!D12)</f>
        <v>257403</v>
      </c>
      <c r="I10" s="369">
        <f>SUM('[14]Celkem školství'!E12)</f>
        <v>244179</v>
      </c>
      <c r="J10" s="326">
        <v>277306</v>
      </c>
      <c r="K10" s="327">
        <f>SUM('[14]Celkem školství'!F12)</f>
        <v>220003</v>
      </c>
      <c r="L10" s="328">
        <f>K10-H10</f>
        <v>-37400</v>
      </c>
      <c r="M10" s="329">
        <f>K10/H10-1</f>
        <v>-0.14529745185565046</v>
      </c>
      <c r="N10" s="321"/>
    </row>
    <row r="11" spans="1:14" s="289" customFormat="1" ht="17.100000000000001" customHeight="1" x14ac:dyDescent="0.2">
      <c r="A11" s="312"/>
      <c r="B11" s="312"/>
      <c r="C11" s="312"/>
      <c r="D11" s="322" t="s">
        <v>483</v>
      </c>
      <c r="E11" s="598"/>
      <c r="F11" s="323" t="s">
        <v>162</v>
      </c>
      <c r="G11" s="324">
        <f>SUM('[14]Celkem školství'!C13)</f>
        <v>1399</v>
      </c>
      <c r="H11" s="328">
        <f>SUM('[14]Celkem školství'!D13)</f>
        <v>1517</v>
      </c>
      <c r="I11" s="369">
        <f>SUM('[14]Celkem školství'!E13)</f>
        <v>1891</v>
      </c>
      <c r="J11" s="326">
        <v>1873</v>
      </c>
      <c r="K11" s="327">
        <f>SUM('[14]Celkem školství'!F13)</f>
        <v>1931</v>
      </c>
      <c r="L11" s="328">
        <f t="shared" ref="L11:L16" si="2">K11-H11</f>
        <v>414</v>
      </c>
      <c r="M11" s="329">
        <f>K11/H11-1</f>
        <v>0.27290705339485832</v>
      </c>
      <c r="N11" s="321"/>
    </row>
    <row r="12" spans="1:14" s="289" customFormat="1" ht="17.100000000000001" customHeight="1" x14ac:dyDescent="0.2">
      <c r="A12" s="312"/>
      <c r="B12" s="312"/>
      <c r="C12" s="312"/>
      <c r="D12" s="322" t="s">
        <v>484</v>
      </c>
      <c r="E12" s="598"/>
      <c r="F12" s="323" t="s">
        <v>163</v>
      </c>
      <c r="G12" s="324">
        <f>SUM('[14]Celkem školství'!C14)</f>
        <v>74889</v>
      </c>
      <c r="H12" s="328">
        <f>SUM('[14]Celkem školství'!D14)</f>
        <v>88602</v>
      </c>
      <c r="I12" s="369">
        <f>SUM('[14]Celkem školství'!E14)</f>
        <v>88602</v>
      </c>
      <c r="J12" s="326">
        <v>80875</v>
      </c>
      <c r="K12" s="327">
        <f>SUM('[14]Celkem školství'!F14)</f>
        <v>90909</v>
      </c>
      <c r="L12" s="328">
        <f t="shared" si="2"/>
        <v>2307</v>
      </c>
      <c r="M12" s="329">
        <f>K12/H12-1</f>
        <v>2.6037786957405107E-2</v>
      </c>
      <c r="N12" s="321"/>
    </row>
    <row r="13" spans="1:14" s="289" customFormat="1" ht="17.100000000000001" customHeight="1" x14ac:dyDescent="0.2">
      <c r="A13" s="312"/>
      <c r="B13" s="312"/>
      <c r="C13" s="312"/>
      <c r="D13" s="330" t="s">
        <v>485</v>
      </c>
      <c r="E13" s="599"/>
      <c r="F13" s="331" t="s">
        <v>164</v>
      </c>
      <c r="G13" s="324">
        <f>SUM('[14]Celkem školství'!C15)</f>
        <v>222</v>
      </c>
      <c r="H13" s="328">
        <f>SUM('[14]Celkem školství'!D15)</f>
        <v>740</v>
      </c>
      <c r="I13" s="369">
        <f>SUM('[14]Celkem školství'!E15)</f>
        <v>9521</v>
      </c>
      <c r="J13" s="326">
        <v>3555</v>
      </c>
      <c r="K13" s="327">
        <f>SUM('[14]Celkem školství'!F15)</f>
        <v>750</v>
      </c>
      <c r="L13" s="328">
        <f t="shared" si="2"/>
        <v>10</v>
      </c>
      <c r="M13" s="329">
        <f>K13/H13-1</f>
        <v>1.3513513513513598E-2</v>
      </c>
      <c r="N13" s="321"/>
    </row>
    <row r="14" spans="1:14" s="289" customFormat="1" ht="17.100000000000001" customHeight="1" x14ac:dyDescent="0.2">
      <c r="A14" s="312"/>
      <c r="B14" s="312"/>
      <c r="C14" s="312"/>
      <c r="D14" s="322" t="s">
        <v>486</v>
      </c>
      <c r="E14" s="598"/>
      <c r="F14" s="323" t="s">
        <v>380</v>
      </c>
      <c r="G14" s="324" t="e">
        <f>SUM('[14]Celkem školství'!#REF!)</f>
        <v>#REF!</v>
      </c>
      <c r="H14" s="328">
        <f>SUM('[14]Celkem školství'!D16)</f>
        <v>142487</v>
      </c>
      <c r="I14" s="369">
        <f>SUM('[14]Celkem školství'!E16)</f>
        <v>142487</v>
      </c>
      <c r="J14" s="326">
        <v>139</v>
      </c>
      <c r="K14" s="327">
        <f>SUM('[14]Celkem školství'!F16)</f>
        <v>76945</v>
      </c>
      <c r="L14" s="328">
        <f t="shared" si="2"/>
        <v>-65542</v>
      </c>
      <c r="M14" s="329">
        <f t="shared" ref="M14:M15" si="3">K14/H14-1</f>
        <v>-0.45998582326808757</v>
      </c>
      <c r="N14" s="321"/>
    </row>
    <row r="15" spans="1:14" s="289" customFormat="1" ht="17.100000000000001" customHeight="1" x14ac:dyDescent="0.2">
      <c r="A15" s="312"/>
      <c r="B15" s="312"/>
      <c r="C15" s="312"/>
      <c r="D15" s="322" t="s">
        <v>487</v>
      </c>
      <c r="E15" s="323"/>
      <c r="F15" s="323" t="s">
        <v>381</v>
      </c>
      <c r="G15" s="324"/>
      <c r="H15" s="328">
        <f>SUM('[14]Celkem školství'!D17)</f>
        <v>89670</v>
      </c>
      <c r="I15" s="369">
        <f>SUM('[14]Celkem školství'!E17)</f>
        <v>89670</v>
      </c>
      <c r="J15" s="326"/>
      <c r="K15" s="327">
        <f>SUM('[14]Celkem školství'!F17)</f>
        <v>71099</v>
      </c>
      <c r="L15" s="328">
        <f t="shared" si="2"/>
        <v>-18571</v>
      </c>
      <c r="M15" s="329">
        <f t="shared" si="3"/>
        <v>-0.20710382513661207</v>
      </c>
      <c r="N15" s="321"/>
    </row>
    <row r="16" spans="1:14" s="289" customFormat="1" ht="17.100000000000001" customHeight="1" thickBot="1" x14ac:dyDescent="0.25">
      <c r="A16" s="312"/>
      <c r="B16" s="907"/>
      <c r="C16" s="908"/>
      <c r="D16" s="289" t="s">
        <v>488</v>
      </c>
      <c r="E16" s="323"/>
      <c r="F16" s="323" t="s">
        <v>489</v>
      </c>
      <c r="G16" s="324"/>
      <c r="H16" s="328">
        <f>SUM('[14]Celkem školství'!D18)</f>
        <v>0</v>
      </c>
      <c r="I16" s="369">
        <f>SUM('[14]Celkem školství'!E18)</f>
        <v>0</v>
      </c>
      <c r="J16" s="326"/>
      <c r="K16" s="327">
        <f>SUM('[14]Celkem školství'!F18)</f>
        <v>47162</v>
      </c>
      <c r="L16" s="328">
        <f t="shared" si="2"/>
        <v>47162</v>
      </c>
      <c r="M16" s="329" t="str">
        <f t="shared" ref="M16" si="4">IF(H16=0,"",K16/H16-1)</f>
        <v/>
      </c>
      <c r="N16" s="321"/>
    </row>
    <row r="17" spans="1:14" s="289" customFormat="1" ht="24.95" customHeight="1" x14ac:dyDescent="0.2">
      <c r="A17" s="312"/>
      <c r="B17" s="312"/>
      <c r="C17" s="312"/>
      <c r="D17" s="313" t="s">
        <v>166</v>
      </c>
      <c r="E17" s="597" t="s">
        <v>293</v>
      </c>
      <c r="F17" s="314"/>
      <c r="G17" s="315" t="e">
        <f>SUM(G18:G24)</f>
        <v>#REF!</v>
      </c>
      <c r="H17" s="319">
        <f>SUM(H18:H24)</f>
        <v>625360</v>
      </c>
      <c r="I17" s="362">
        <f>SUM(I18:I24)</f>
        <v>627497</v>
      </c>
      <c r="J17" s="317">
        <f>SUM(J18:J24)</f>
        <v>553993</v>
      </c>
      <c r="K17" s="318">
        <f>SUM(K18:K24)</f>
        <v>431498</v>
      </c>
      <c r="L17" s="319">
        <f t="shared" si="0"/>
        <v>-193862</v>
      </c>
      <c r="M17" s="320">
        <f t="shared" si="1"/>
        <v>-0.31000063963157221</v>
      </c>
      <c r="N17" s="321"/>
    </row>
    <row r="18" spans="1:14" s="289" customFormat="1" ht="17.100000000000001" customHeight="1" x14ac:dyDescent="0.2">
      <c r="A18" s="312"/>
      <c r="B18" s="312"/>
      <c r="C18" s="312"/>
      <c r="D18" s="322" t="s">
        <v>160</v>
      </c>
      <c r="E18" s="598"/>
      <c r="F18" s="323" t="s">
        <v>161</v>
      </c>
      <c r="G18" s="324">
        <f>SUM('[14]Celkem sociální'!C12)</f>
        <v>156471</v>
      </c>
      <c r="H18" s="328">
        <f>SUM('[14]Celkem sociální'!D12)</f>
        <v>47839</v>
      </c>
      <c r="I18" s="369">
        <f>SUM('[14]Celkem sociální'!E12)</f>
        <v>47839</v>
      </c>
      <c r="J18" s="326">
        <v>245205</v>
      </c>
      <c r="K18" s="327">
        <f>SUM('[14]Celkem sociální'!F12)</f>
        <v>7898</v>
      </c>
      <c r="L18" s="328">
        <f t="shared" si="0"/>
        <v>-39941</v>
      </c>
      <c r="M18" s="329">
        <f t="shared" si="1"/>
        <v>-0.83490457576454358</v>
      </c>
      <c r="N18" s="321"/>
    </row>
    <row r="19" spans="1:14" s="289" customFormat="1" ht="17.100000000000001" customHeight="1" x14ac:dyDescent="0.2">
      <c r="A19" s="312"/>
      <c r="B19" s="312"/>
      <c r="C19" s="312"/>
      <c r="D19" s="322" t="s">
        <v>483</v>
      </c>
      <c r="E19" s="598"/>
      <c r="F19" s="323" t="s">
        <v>162</v>
      </c>
      <c r="G19" s="324"/>
      <c r="H19" s="328">
        <f>SUM('[14]Celkem sociální'!D13)</f>
        <v>354579</v>
      </c>
      <c r="I19" s="369">
        <f>SUM('[14]Celkem sociální'!E13)</f>
        <v>352290</v>
      </c>
      <c r="J19" s="326"/>
      <c r="K19" s="327">
        <f>SUM('[14]Celkem sociální'!F13)</f>
        <v>308788</v>
      </c>
      <c r="L19" s="328">
        <f t="shared" si="0"/>
        <v>-45791</v>
      </c>
      <c r="M19" s="329">
        <f t="shared" si="1"/>
        <v>-0.12914188375510116</v>
      </c>
      <c r="N19" s="321"/>
    </row>
    <row r="20" spans="1:14" s="289" customFormat="1" ht="17.100000000000001" customHeight="1" x14ac:dyDescent="0.2">
      <c r="A20" s="312"/>
      <c r="B20" s="312"/>
      <c r="C20" s="312"/>
      <c r="D20" s="322" t="s">
        <v>484</v>
      </c>
      <c r="E20" s="598"/>
      <c r="F20" s="323" t="s">
        <v>163</v>
      </c>
      <c r="G20" s="324"/>
      <c r="H20" s="328">
        <f>SUM('[14]Celkem sociální'!D14)</f>
        <v>52607</v>
      </c>
      <c r="I20" s="369">
        <f>SUM('[14]Celkem sociální'!E14)</f>
        <v>52607</v>
      </c>
      <c r="J20" s="326"/>
      <c r="K20" s="327">
        <f>SUM('[14]Celkem sociální'!F14)</f>
        <v>56420</v>
      </c>
      <c r="L20" s="328">
        <f>K20-H20</f>
        <v>3813</v>
      </c>
      <c r="M20" s="329">
        <f t="shared" si="1"/>
        <v>7.248084855627579E-2</v>
      </c>
      <c r="N20" s="321"/>
    </row>
    <row r="21" spans="1:14" s="289" customFormat="1" ht="17.100000000000001" customHeight="1" x14ac:dyDescent="0.2">
      <c r="A21" s="312"/>
      <c r="B21" s="312"/>
      <c r="C21" s="312"/>
      <c r="D21" s="330" t="s">
        <v>485</v>
      </c>
      <c r="E21" s="599"/>
      <c r="F21" s="331" t="s">
        <v>164</v>
      </c>
      <c r="G21" s="324"/>
      <c r="H21" s="328">
        <f>SUM('[14]Celkem sociální'!D15)</f>
        <v>0</v>
      </c>
      <c r="I21" s="369">
        <f>SUM('[14]Celkem sociální'!E15)</f>
        <v>4426</v>
      </c>
      <c r="J21" s="326"/>
      <c r="K21" s="327">
        <f>SUM('[14]Celkem sociální'!F15)</f>
        <v>0</v>
      </c>
      <c r="L21" s="328">
        <f t="shared" si="0"/>
        <v>0</v>
      </c>
      <c r="M21" s="329"/>
      <c r="N21" s="321"/>
    </row>
    <row r="22" spans="1:14" s="289" customFormat="1" ht="17.100000000000001" customHeight="1" x14ac:dyDescent="0.2">
      <c r="A22" s="312"/>
      <c r="B22" s="312"/>
      <c r="C22" s="312"/>
      <c r="D22" s="322" t="s">
        <v>486</v>
      </c>
      <c r="E22" s="598"/>
      <c r="F22" s="323" t="s">
        <v>380</v>
      </c>
      <c r="G22" s="324"/>
      <c r="H22" s="328">
        <f>SUM('[14]Celkem sociální'!D16)</f>
        <v>106296</v>
      </c>
      <c r="I22" s="369">
        <f>SUM('[14]Celkem sociální'!E16)</f>
        <v>106296</v>
      </c>
      <c r="J22" s="326"/>
      <c r="K22" s="327">
        <f>SUM('[14]Celkem sociální'!F16)</f>
        <v>32406</v>
      </c>
      <c r="L22" s="328">
        <f>K22-H22</f>
        <v>-73890</v>
      </c>
      <c r="M22" s="329">
        <f t="shared" si="1"/>
        <v>-0.69513434183788658</v>
      </c>
      <c r="N22" s="321"/>
    </row>
    <row r="23" spans="1:14" s="289" customFormat="1" ht="17.100000000000001" customHeight="1" x14ac:dyDescent="0.2">
      <c r="A23" s="312"/>
      <c r="B23" s="312"/>
      <c r="C23" s="312"/>
      <c r="D23" s="322" t="s">
        <v>487</v>
      </c>
      <c r="E23" s="323"/>
      <c r="F23" s="323" t="s">
        <v>381</v>
      </c>
      <c r="G23" s="324"/>
      <c r="H23" s="328">
        <f>SUM('[14]Celkem sociální'!D17)</f>
        <v>64039</v>
      </c>
      <c r="I23" s="369">
        <f>SUM('[14]Celkem sociální'!E17)</f>
        <v>64039</v>
      </c>
      <c r="J23" s="326"/>
      <c r="K23" s="327">
        <f>SUM('[14]Celkem sociální'!F17)</f>
        <v>25017</v>
      </c>
      <c r="L23" s="328">
        <f>K23-H23</f>
        <v>-39022</v>
      </c>
      <c r="M23" s="329">
        <f t="shared" si="1"/>
        <v>-0.60934742891050764</v>
      </c>
      <c r="N23" s="321"/>
    </row>
    <row r="24" spans="1:14" s="289" customFormat="1" ht="17.100000000000001" customHeight="1" thickBot="1" x14ac:dyDescent="0.25">
      <c r="A24" s="312"/>
      <c r="B24" s="907"/>
      <c r="C24" s="312"/>
      <c r="D24" s="909" t="s">
        <v>488</v>
      </c>
      <c r="E24" s="323"/>
      <c r="F24" s="323" t="s">
        <v>489</v>
      </c>
      <c r="G24" s="324" t="e">
        <f>SUM('[14]Celkem sociální'!#REF!)</f>
        <v>#REF!</v>
      </c>
      <c r="H24" s="328">
        <f>SUM('[14]Celkem sociální'!D18)</f>
        <v>0</v>
      </c>
      <c r="I24" s="369">
        <f>SUM('[14]Celkem sociální'!E18)</f>
        <v>0</v>
      </c>
      <c r="J24" s="324">
        <f>SUM('[14]Celkem sociální'!F13)</f>
        <v>308788</v>
      </c>
      <c r="K24" s="327">
        <f>SUM('[14]Celkem sociální'!F18)</f>
        <v>969</v>
      </c>
      <c r="L24" s="328">
        <f t="shared" si="0"/>
        <v>969</v>
      </c>
      <c r="M24" s="329"/>
      <c r="N24" s="321"/>
    </row>
    <row r="25" spans="1:14" s="333" customFormat="1" ht="21" customHeight="1" x14ac:dyDescent="0.2">
      <c r="A25" s="332"/>
      <c r="B25" s="332"/>
      <c r="C25" s="332"/>
      <c r="D25" s="313" t="s">
        <v>167</v>
      </c>
      <c r="E25" s="597" t="s">
        <v>294</v>
      </c>
      <c r="F25" s="314"/>
      <c r="G25" s="315" t="e">
        <f>SUM(G26,G34)</f>
        <v>#REF!</v>
      </c>
      <c r="H25" s="319">
        <f>SUM(H26,H34)</f>
        <v>2500369</v>
      </c>
      <c r="I25" s="362">
        <f>SUM(I26,I34)</f>
        <v>2524396</v>
      </c>
      <c r="J25" s="317">
        <f>J26+J34</f>
        <v>1399141</v>
      </c>
      <c r="K25" s="318">
        <f>SUM(K26,K34)</f>
        <v>2726931</v>
      </c>
      <c r="L25" s="319">
        <f t="shared" si="0"/>
        <v>226562</v>
      </c>
      <c r="M25" s="320">
        <f t="shared" ref="M25:M34" si="5">K25/H25-1</f>
        <v>9.061142575355885E-2</v>
      </c>
      <c r="N25" s="321"/>
    </row>
    <row r="26" spans="1:14" s="333" customFormat="1" ht="18" customHeight="1" x14ac:dyDescent="0.25">
      <c r="A26" s="332"/>
      <c r="B26" s="332"/>
      <c r="C26" s="332"/>
      <c r="D26" s="334" t="s">
        <v>168</v>
      </c>
      <c r="E26" s="600"/>
      <c r="F26" s="323"/>
      <c r="G26" s="335" t="e">
        <f>SUM(G27:G33)</f>
        <v>#REF!</v>
      </c>
      <c r="H26" s="338">
        <f>SUM(H27:H33)</f>
        <v>674369</v>
      </c>
      <c r="I26" s="601">
        <f>SUM(I27:I33)</f>
        <v>694315</v>
      </c>
      <c r="J26" s="336">
        <f>SUM(J27:J33)</f>
        <v>398501</v>
      </c>
      <c r="K26" s="769">
        <f>SUM(K27:K33)</f>
        <v>699931</v>
      </c>
      <c r="L26" s="338">
        <f>K26-H26</f>
        <v>25562</v>
      </c>
      <c r="M26" s="339">
        <f t="shared" si="5"/>
        <v>3.7905063844868359E-2</v>
      </c>
      <c r="N26" s="321"/>
    </row>
    <row r="27" spans="1:14" s="333" customFormat="1" ht="17.100000000000001" customHeight="1" x14ac:dyDescent="0.2">
      <c r="A27" s="332"/>
      <c r="B27" s="332"/>
      <c r="C27" s="332"/>
      <c r="D27" s="322" t="s">
        <v>160</v>
      </c>
      <c r="E27" s="598"/>
      <c r="F27" s="323" t="s">
        <v>161</v>
      </c>
      <c r="G27" s="324" t="e">
        <f>SUM('[14]Celkem doprava'!#REF!)</f>
        <v>#REF!</v>
      </c>
      <c r="H27" s="328">
        <f>SUM('[14]Celkem doprava'!C12)</f>
        <v>219730</v>
      </c>
      <c r="I27" s="369">
        <f>SUM('[14]Celkem doprava'!D12)</f>
        <v>219730</v>
      </c>
      <c r="J27" s="326">
        <v>398501</v>
      </c>
      <c r="K27" s="770">
        <f>SUM('[14]Celkem doprava'!E12)</f>
        <v>232977</v>
      </c>
      <c r="L27" s="328">
        <f>K27-H27</f>
        <v>13247</v>
      </c>
      <c r="M27" s="329">
        <f>K27/H27-1</f>
        <v>6.0287625722477589E-2</v>
      </c>
      <c r="N27" s="321"/>
    </row>
    <row r="28" spans="1:14" s="333" customFormat="1" ht="17.100000000000001" customHeight="1" x14ac:dyDescent="0.2">
      <c r="A28" s="332"/>
      <c r="B28" s="332"/>
      <c r="C28" s="332"/>
      <c r="D28" s="322" t="s">
        <v>483</v>
      </c>
      <c r="E28" s="598"/>
      <c r="F28" s="323" t="s">
        <v>162</v>
      </c>
      <c r="G28" s="324"/>
      <c r="H28" s="328">
        <f>SUM('[14]Celkem doprava'!C13)</f>
        <v>267691</v>
      </c>
      <c r="I28" s="369">
        <f>SUM('[14]Celkem doprava'!D13)</f>
        <v>279691</v>
      </c>
      <c r="J28" s="326"/>
      <c r="K28" s="770">
        <f>SUM('[14]Celkem doprava'!E13)</f>
        <v>291756</v>
      </c>
      <c r="L28" s="328">
        <f t="shared" ref="L28:L33" si="6">K28-H28</f>
        <v>24065</v>
      </c>
      <c r="M28" s="329">
        <f t="shared" ref="M28:M32" si="7">K28/H28-1</f>
        <v>8.9898427664732772E-2</v>
      </c>
      <c r="N28" s="321"/>
    </row>
    <row r="29" spans="1:14" s="333" customFormat="1" ht="17.100000000000001" customHeight="1" x14ac:dyDescent="0.2">
      <c r="A29" s="332"/>
      <c r="B29" s="332"/>
      <c r="C29" s="332"/>
      <c r="D29" s="322" t="s">
        <v>484</v>
      </c>
      <c r="E29" s="598"/>
      <c r="F29" s="323" t="s">
        <v>163</v>
      </c>
      <c r="G29" s="324"/>
      <c r="H29" s="328">
        <f>SUM('[14]Celkem doprava'!C14)</f>
        <v>171528</v>
      </c>
      <c r="I29" s="369">
        <f>SUM('[14]Celkem doprava'!D14)</f>
        <v>171528</v>
      </c>
      <c r="J29" s="326"/>
      <c r="K29" s="770">
        <f>SUM('[14]Celkem doprava'!E14)</f>
        <v>161988</v>
      </c>
      <c r="L29" s="328">
        <f t="shared" si="6"/>
        <v>-9540</v>
      </c>
      <c r="M29" s="329">
        <f t="shared" si="7"/>
        <v>-5.5617741709808266E-2</v>
      </c>
      <c r="N29" s="321"/>
    </row>
    <row r="30" spans="1:14" s="333" customFormat="1" ht="17.100000000000001" customHeight="1" x14ac:dyDescent="0.2">
      <c r="A30" s="332"/>
      <c r="B30" s="332"/>
      <c r="C30" s="332"/>
      <c r="D30" s="330" t="s">
        <v>485</v>
      </c>
      <c r="E30" s="599"/>
      <c r="F30" s="331" t="s">
        <v>164</v>
      </c>
      <c r="G30" s="324"/>
      <c r="H30" s="328">
        <f>SUM('[14]Celkem doprava'!C15)</f>
        <v>0</v>
      </c>
      <c r="I30" s="369">
        <f>SUM('[14]Celkem doprava'!D15)</f>
        <v>7946</v>
      </c>
      <c r="J30" s="326"/>
      <c r="K30" s="770">
        <f>SUM('[14]Celkem doprava'!E15)</f>
        <v>0</v>
      </c>
      <c r="L30" s="328">
        <f t="shared" si="6"/>
        <v>0</v>
      </c>
      <c r="M30" s="329"/>
      <c r="N30" s="321"/>
    </row>
    <row r="31" spans="1:14" s="333" customFormat="1" ht="17.100000000000001" customHeight="1" x14ac:dyDescent="0.2">
      <c r="A31" s="332"/>
      <c r="B31" s="332"/>
      <c r="C31" s="332"/>
      <c r="D31" s="322" t="s">
        <v>486</v>
      </c>
      <c r="E31" s="598"/>
      <c r="F31" s="323" t="s">
        <v>380</v>
      </c>
      <c r="G31" s="324"/>
      <c r="H31" s="328">
        <f>SUM('[14]Celkem doprava'!C16)</f>
        <v>9345</v>
      </c>
      <c r="I31" s="369">
        <f>SUM('[14]Celkem doprava'!D16)</f>
        <v>9345</v>
      </c>
      <c r="J31" s="326"/>
      <c r="K31" s="770">
        <f>SUM('[14]Celkem doprava'!E16)</f>
        <v>5500</v>
      </c>
      <c r="L31" s="328">
        <f t="shared" si="6"/>
        <v>-3845</v>
      </c>
      <c r="M31" s="329">
        <f t="shared" si="7"/>
        <v>-0.41144997324772603</v>
      </c>
      <c r="N31" s="321"/>
    </row>
    <row r="32" spans="1:14" s="333" customFormat="1" ht="17.100000000000001" customHeight="1" x14ac:dyDescent="0.2">
      <c r="A32" s="332"/>
      <c r="B32" s="332"/>
      <c r="C32" s="332"/>
      <c r="D32" s="322" t="s">
        <v>487</v>
      </c>
      <c r="E32" s="323"/>
      <c r="F32" s="323" t="s">
        <v>381</v>
      </c>
      <c r="G32" s="324"/>
      <c r="H32" s="328">
        <f>SUM('[14]Celkem doprava'!C17)</f>
        <v>6075</v>
      </c>
      <c r="I32" s="369">
        <f>SUM('[14]Celkem doprava'!D17)</f>
        <v>6075</v>
      </c>
      <c r="J32" s="326"/>
      <c r="K32" s="770">
        <f>SUM('[14]Celkem doprava'!E17)</f>
        <v>5500</v>
      </c>
      <c r="L32" s="328">
        <f t="shared" si="6"/>
        <v>-575</v>
      </c>
      <c r="M32" s="329">
        <f t="shared" si="7"/>
        <v>-9.4650205761316886E-2</v>
      </c>
      <c r="N32" s="321"/>
    </row>
    <row r="33" spans="1:14" s="289" customFormat="1" ht="17.100000000000001" customHeight="1" x14ac:dyDescent="0.2">
      <c r="A33" s="312"/>
      <c r="B33" s="907"/>
      <c r="C33" s="908"/>
      <c r="D33" s="289" t="s">
        <v>488</v>
      </c>
      <c r="E33" s="323"/>
      <c r="F33" s="323" t="s">
        <v>489</v>
      </c>
      <c r="G33" s="324"/>
      <c r="H33" s="328">
        <f>SUM('[14]Celkem doprava'!C18)</f>
        <v>0</v>
      </c>
      <c r="I33" s="369">
        <f>SUM('[14]Celkem doprava'!D18)</f>
        <v>0</v>
      </c>
      <c r="J33" s="326"/>
      <c r="K33" s="770">
        <f>SUM('[14]Celkem doprava'!E18)</f>
        <v>2210</v>
      </c>
      <c r="L33" s="328">
        <f t="shared" si="6"/>
        <v>2210</v>
      </c>
      <c r="M33" s="329"/>
      <c r="N33" s="321"/>
    </row>
    <row r="34" spans="1:14" s="333" customFormat="1" ht="18" customHeight="1" x14ac:dyDescent="0.25">
      <c r="A34" s="332"/>
      <c r="B34" s="332"/>
      <c r="C34" s="332"/>
      <c r="D34" s="334" t="s">
        <v>169</v>
      </c>
      <c r="E34" s="600"/>
      <c r="F34" s="331"/>
      <c r="G34" s="335" t="e">
        <f>SUM(G35:G38)</f>
        <v>#REF!</v>
      </c>
      <c r="H34" s="338">
        <f>SUM(H35:H41)</f>
        <v>1826000</v>
      </c>
      <c r="I34" s="601">
        <f>SUM(I35:I41)</f>
        <v>1830081</v>
      </c>
      <c r="J34" s="336">
        <f t="shared" ref="J34" si="8">SUM(J35:J40)</f>
        <v>1000640</v>
      </c>
      <c r="K34" s="337">
        <f>SUM(K35:K41)</f>
        <v>2027000</v>
      </c>
      <c r="L34" s="338">
        <f t="shared" si="0"/>
        <v>201000</v>
      </c>
      <c r="M34" s="339">
        <f t="shared" si="5"/>
        <v>0.11007667031763413</v>
      </c>
      <c r="N34" s="321"/>
    </row>
    <row r="35" spans="1:14" s="333" customFormat="1" ht="30.75" customHeight="1" x14ac:dyDescent="0.2">
      <c r="A35" s="332"/>
      <c r="B35" s="332"/>
      <c r="C35" s="332"/>
      <c r="D35" s="330" t="s">
        <v>170</v>
      </c>
      <c r="E35" s="599"/>
      <c r="F35" s="340" t="s">
        <v>171</v>
      </c>
      <c r="G35" s="341" t="e">
        <f>SUM('[14]Celkem doprava'!#REF!)</f>
        <v>#REF!</v>
      </c>
      <c r="H35" s="345">
        <f>SUM('[14]Celkem doprava'!C20)</f>
        <v>660000</v>
      </c>
      <c r="I35" s="380">
        <f>SUM('[14]Celkem doprava'!D20)</f>
        <v>660000</v>
      </c>
      <c r="J35" s="343">
        <v>475650</v>
      </c>
      <c r="K35" s="344">
        <f>SUM('[14]Celkem doprava'!E20)</f>
        <v>660000</v>
      </c>
      <c r="L35" s="345">
        <f>K35-H35</f>
        <v>0</v>
      </c>
      <c r="M35" s="346">
        <f>K35/H35-1</f>
        <v>0</v>
      </c>
      <c r="N35" s="321"/>
    </row>
    <row r="36" spans="1:14" s="333" customFormat="1" ht="30" customHeight="1" x14ac:dyDescent="0.2">
      <c r="A36" s="332"/>
      <c r="B36" s="332"/>
      <c r="C36" s="332"/>
      <c r="D36" s="330" t="s">
        <v>172</v>
      </c>
      <c r="E36" s="599"/>
      <c r="F36" s="340" t="s">
        <v>173</v>
      </c>
      <c r="G36" s="341" t="e">
        <f>SUM('[14]Celkem doprava'!#REF!)</f>
        <v>#REF!</v>
      </c>
      <c r="H36" s="345">
        <f>SUM('[14]Celkem doprava'!C21)</f>
        <v>827000</v>
      </c>
      <c r="I36" s="380">
        <f>SUM('[14]Celkem doprava'!D21)</f>
        <v>827000</v>
      </c>
      <c r="J36" s="343">
        <v>462248</v>
      </c>
      <c r="K36" s="344">
        <f>SUM('[14]Celkem doprava'!E21)</f>
        <v>950000</v>
      </c>
      <c r="L36" s="345">
        <f t="shared" ref="L36:L41" si="9">K36-H36</f>
        <v>123000</v>
      </c>
      <c r="M36" s="346">
        <f t="shared" ref="M36:M51" si="10">K36/H36-1</f>
        <v>0.14873035066505436</v>
      </c>
      <c r="N36" s="321"/>
    </row>
    <row r="37" spans="1:14" s="333" customFormat="1" ht="16.5" customHeight="1" x14ac:dyDescent="0.2">
      <c r="A37" s="332"/>
      <c r="B37" s="332"/>
      <c r="C37" s="332"/>
      <c r="D37" s="330" t="s">
        <v>490</v>
      </c>
      <c r="E37" s="599"/>
      <c r="F37" s="331" t="s">
        <v>65</v>
      </c>
      <c r="G37" s="324" t="e">
        <f>SUM('[14]Celkem doprava'!#REF!)</f>
        <v>#REF!</v>
      </c>
      <c r="H37" s="345">
        <f>SUM('[14]Celkem doprava'!C22)</f>
        <v>22000</v>
      </c>
      <c r="I37" s="380">
        <f>SUM('[14]Celkem doprava'!D22)</f>
        <v>22000</v>
      </c>
      <c r="J37" s="326">
        <v>25000</v>
      </c>
      <c r="K37" s="344">
        <f>SUM('[14]Celkem doprava'!E22)</f>
        <v>24000</v>
      </c>
      <c r="L37" s="345">
        <f t="shared" si="9"/>
        <v>2000</v>
      </c>
      <c r="M37" s="346">
        <f t="shared" si="10"/>
        <v>9.0909090909090828E-2</v>
      </c>
      <c r="N37" s="321"/>
    </row>
    <row r="38" spans="1:14" s="333" customFormat="1" ht="16.5" customHeight="1" x14ac:dyDescent="0.2">
      <c r="A38" s="332"/>
      <c r="B38" s="332"/>
      <c r="C38" s="332"/>
      <c r="D38" s="330" t="s">
        <v>175</v>
      </c>
      <c r="E38" s="599"/>
      <c r="F38" s="347" t="s">
        <v>67</v>
      </c>
      <c r="G38" s="324" t="e">
        <f>SUM('[14]Celkem doprava'!#REF!)</f>
        <v>#REF!</v>
      </c>
      <c r="H38" s="345">
        <f>SUM('[14]Celkem doprava'!C23)</f>
        <v>200000</v>
      </c>
      <c r="I38" s="380">
        <f>SUM('[14]Celkem doprava'!D23)</f>
        <v>200000</v>
      </c>
      <c r="J38" s="326">
        <v>37742</v>
      </c>
      <c r="K38" s="344">
        <f>SUM('[14]Celkem doprava'!E23)</f>
        <v>255000</v>
      </c>
      <c r="L38" s="345">
        <f t="shared" si="9"/>
        <v>55000</v>
      </c>
      <c r="M38" s="346">
        <f t="shared" si="10"/>
        <v>0.27499999999999991</v>
      </c>
      <c r="N38" s="321"/>
    </row>
    <row r="39" spans="1:14" s="333" customFormat="1" ht="16.5" customHeight="1" x14ac:dyDescent="0.2">
      <c r="A39" s="332"/>
      <c r="B39" s="332"/>
      <c r="C39" s="332"/>
      <c r="D39" s="330" t="s">
        <v>176</v>
      </c>
      <c r="E39" s="599"/>
      <c r="F39" s="347" t="s">
        <v>69</v>
      </c>
      <c r="G39" s="324"/>
      <c r="H39" s="345">
        <f>SUM('[14]Celkem doprava'!C24)</f>
        <v>37000</v>
      </c>
      <c r="I39" s="380">
        <f>SUM('[14]Celkem doprava'!D24)</f>
        <v>37000</v>
      </c>
      <c r="J39" s="326"/>
      <c r="K39" s="344">
        <f>SUM('[14]Celkem doprava'!E24)</f>
        <v>40000</v>
      </c>
      <c r="L39" s="345">
        <f t="shared" si="9"/>
        <v>3000</v>
      </c>
      <c r="M39" s="346">
        <f t="shared" si="10"/>
        <v>8.1081081081081141E-2</v>
      </c>
      <c r="N39" s="321"/>
    </row>
    <row r="40" spans="1:14" s="333" customFormat="1" ht="16.5" customHeight="1" x14ac:dyDescent="0.2">
      <c r="A40" s="332"/>
      <c r="B40" s="332"/>
      <c r="C40" s="332"/>
      <c r="D40" s="330" t="s">
        <v>177</v>
      </c>
      <c r="E40" s="599"/>
      <c r="F40" s="347" t="s">
        <v>71</v>
      </c>
      <c r="G40" s="324"/>
      <c r="H40" s="345">
        <f>SUM('[14]Celkem doprava'!C25)</f>
        <v>35000</v>
      </c>
      <c r="I40" s="380">
        <f>SUM('[14]Celkem doprava'!D25)</f>
        <v>39081</v>
      </c>
      <c r="J40" s="326"/>
      <c r="K40" s="344">
        <f>SUM('[14]Celkem doprava'!E25)</f>
        <v>43000</v>
      </c>
      <c r="L40" s="345">
        <f t="shared" si="9"/>
        <v>8000</v>
      </c>
      <c r="M40" s="346">
        <f t="shared" si="10"/>
        <v>0.22857142857142865</v>
      </c>
      <c r="N40" s="321"/>
    </row>
    <row r="41" spans="1:14" s="333" customFormat="1" ht="16.5" customHeight="1" thickBot="1" x14ac:dyDescent="0.25">
      <c r="A41" s="332"/>
      <c r="B41" s="332"/>
      <c r="C41" s="332"/>
      <c r="D41" s="330" t="s">
        <v>382</v>
      </c>
      <c r="E41" s="599"/>
      <c r="F41" s="347" t="s">
        <v>92</v>
      </c>
      <c r="G41" s="324"/>
      <c r="H41" s="345">
        <f>SUM('[14]Celkem doprava'!C26)</f>
        <v>45000</v>
      </c>
      <c r="I41" s="380">
        <f>SUM('[14]Celkem doprava'!D26)</f>
        <v>45000</v>
      </c>
      <c r="J41" s="326"/>
      <c r="K41" s="344">
        <f>SUM('[14]Celkem doprava'!E26)</f>
        <v>55000</v>
      </c>
      <c r="L41" s="345">
        <f t="shared" si="9"/>
        <v>10000</v>
      </c>
      <c r="M41" s="346">
        <f t="shared" si="10"/>
        <v>0.22222222222222232</v>
      </c>
      <c r="N41" s="321"/>
    </row>
    <row r="42" spans="1:14" s="289" customFormat="1" ht="24.95" customHeight="1" x14ac:dyDescent="0.2">
      <c r="A42" s="312"/>
      <c r="B42" s="312"/>
      <c r="C42" s="312"/>
      <c r="D42" s="313" t="s">
        <v>178</v>
      </c>
      <c r="E42" s="597" t="s">
        <v>295</v>
      </c>
      <c r="F42" s="314"/>
      <c r="G42" s="315" t="e">
        <f>SUM(G44:G53)</f>
        <v>#REF!</v>
      </c>
      <c r="H42" s="319">
        <f>H43+H54</f>
        <v>238066</v>
      </c>
      <c r="I42" s="362">
        <f>I43+I54</f>
        <v>240515</v>
      </c>
      <c r="J42" s="317">
        <f>SUM(J44:J53)</f>
        <v>151438</v>
      </c>
      <c r="K42" s="318">
        <f>K43+K54</f>
        <v>259645</v>
      </c>
      <c r="L42" s="319">
        <f>K42-H42</f>
        <v>21579</v>
      </c>
      <c r="M42" s="320">
        <f t="shared" si="10"/>
        <v>9.0642930951920997E-2</v>
      </c>
      <c r="N42" s="321"/>
    </row>
    <row r="43" spans="1:14" s="333" customFormat="1" ht="18" customHeight="1" x14ac:dyDescent="0.25">
      <c r="A43" s="332"/>
      <c r="B43" s="332"/>
      <c r="C43" s="332"/>
      <c r="D43" s="334" t="s">
        <v>168</v>
      </c>
      <c r="E43" s="600"/>
      <c r="F43" s="323"/>
      <c r="G43" s="335"/>
      <c r="H43" s="338">
        <f>SUM(H44:H53)</f>
        <v>237171</v>
      </c>
      <c r="I43" s="601">
        <f>SUM(I44:I53)</f>
        <v>239441</v>
      </c>
      <c r="J43" s="336"/>
      <c r="K43" s="337">
        <f>SUM(K44:K53)</f>
        <v>258780</v>
      </c>
      <c r="L43" s="338">
        <f>K43-H43</f>
        <v>21609</v>
      </c>
      <c r="M43" s="339">
        <f t="shared" si="10"/>
        <v>9.1111476529592617E-2</v>
      </c>
      <c r="N43" s="321"/>
    </row>
    <row r="44" spans="1:14" s="289" customFormat="1" ht="17.100000000000001" customHeight="1" x14ac:dyDescent="0.2">
      <c r="A44" s="312"/>
      <c r="B44" s="312"/>
      <c r="C44" s="312"/>
      <c r="D44" s="322" t="s">
        <v>160</v>
      </c>
      <c r="E44" s="598"/>
      <c r="F44" s="323" t="s">
        <v>161</v>
      </c>
      <c r="G44" s="324">
        <f>SUM('[14]Celkem kultura '!C14)</f>
        <v>43002</v>
      </c>
      <c r="H44" s="328">
        <f>SUM('[14]Celkem kultura '!D14)</f>
        <v>21362</v>
      </c>
      <c r="I44" s="369">
        <f>SUM('[14]Celkem kultura '!E14)</f>
        <v>21458</v>
      </c>
      <c r="J44" s="326">
        <v>49617</v>
      </c>
      <c r="K44" s="770">
        <f>SUM('[14]Celkem kultura '!F14)</f>
        <v>25379</v>
      </c>
      <c r="L44" s="328">
        <f t="shared" ref="L44:L56" si="11">K44-H44</f>
        <v>4017</v>
      </c>
      <c r="M44" s="329">
        <f t="shared" si="10"/>
        <v>0.18804419061885591</v>
      </c>
      <c r="N44" s="321"/>
    </row>
    <row r="45" spans="1:14" s="289" customFormat="1" ht="17.100000000000001" customHeight="1" x14ac:dyDescent="0.2">
      <c r="A45" s="312"/>
      <c r="B45" s="312"/>
      <c r="C45" s="312"/>
      <c r="D45" s="322" t="s">
        <v>483</v>
      </c>
      <c r="E45" s="598"/>
      <c r="F45" s="323" t="s">
        <v>162</v>
      </c>
      <c r="G45" s="324"/>
      <c r="H45" s="328">
        <f>SUM('[14]Celkem kultura '!D15)</f>
        <v>170378</v>
      </c>
      <c r="I45" s="369">
        <f>SUM('[14]Celkem kultura '!E15)</f>
        <v>170378</v>
      </c>
      <c r="J45" s="326"/>
      <c r="K45" s="770">
        <f>SUM('[14]Celkem kultura '!F15)</f>
        <v>184663</v>
      </c>
      <c r="L45" s="328">
        <f>K45-H45</f>
        <v>14285</v>
      </c>
      <c r="M45" s="329">
        <f t="shared" ref="M45:M50" si="12">IF(H45=0,"",K45/H45-1)</f>
        <v>8.3842984422871414E-2</v>
      </c>
      <c r="N45" s="321"/>
    </row>
    <row r="46" spans="1:14" s="289" customFormat="1" ht="17.100000000000001" customHeight="1" x14ac:dyDescent="0.2">
      <c r="A46" s="312"/>
      <c r="B46" s="312"/>
      <c r="C46" s="312"/>
      <c r="D46" s="322" t="s">
        <v>484</v>
      </c>
      <c r="E46" s="598"/>
      <c r="F46" s="323" t="s">
        <v>163</v>
      </c>
      <c r="G46" s="324"/>
      <c r="H46" s="328">
        <f>SUM('[14]Celkem kultura '!D16)</f>
        <v>15980</v>
      </c>
      <c r="I46" s="369">
        <f>SUM('[14]Celkem kultura '!E16)</f>
        <v>15980</v>
      </c>
      <c r="J46" s="326"/>
      <c r="K46" s="770">
        <f>SUM('[14]Celkem kultura '!F16)</f>
        <v>20322</v>
      </c>
      <c r="L46" s="328">
        <f>K46-H46</f>
        <v>4342</v>
      </c>
      <c r="M46" s="329">
        <f t="shared" si="12"/>
        <v>0.2717146433041302</v>
      </c>
      <c r="N46" s="321"/>
    </row>
    <row r="47" spans="1:14" s="289" customFormat="1" ht="17.100000000000001" customHeight="1" x14ac:dyDescent="0.2">
      <c r="A47" s="312"/>
      <c r="B47" s="312"/>
      <c r="C47" s="312"/>
      <c r="D47" s="330" t="s">
        <v>485</v>
      </c>
      <c r="E47" s="599"/>
      <c r="F47" s="331" t="s">
        <v>164</v>
      </c>
      <c r="G47" s="324">
        <f>SUM('[14]Celkem kultura '!C15)</f>
        <v>66420</v>
      </c>
      <c r="H47" s="328">
        <f>SUM('[14]Celkem kultura '!D17)</f>
        <v>5765</v>
      </c>
      <c r="I47" s="369">
        <f>SUM('[14]Celkem kultura '!E17)</f>
        <v>7939</v>
      </c>
      <c r="J47" s="326">
        <v>76901</v>
      </c>
      <c r="K47" s="770">
        <f>SUM('[14]Celkem kultura '!F17)</f>
        <v>8077</v>
      </c>
      <c r="L47" s="328">
        <f t="shared" ref="L47:L52" si="13">K47-H47</f>
        <v>2312</v>
      </c>
      <c r="M47" s="329">
        <f t="shared" si="12"/>
        <v>0.40104076322636595</v>
      </c>
      <c r="N47" s="321"/>
    </row>
    <row r="48" spans="1:14" s="289" customFormat="1" ht="17.100000000000001" customHeight="1" x14ac:dyDescent="0.2">
      <c r="A48" s="312"/>
      <c r="B48" s="312"/>
      <c r="C48" s="312"/>
      <c r="D48" s="322" t="s">
        <v>491</v>
      </c>
      <c r="E48" s="910"/>
      <c r="F48" s="331" t="s">
        <v>165</v>
      </c>
      <c r="G48" s="324"/>
      <c r="H48" s="328">
        <f>SUM('[14]Celkem kultura '!D18)</f>
        <v>1970</v>
      </c>
      <c r="I48" s="369">
        <f>SUM('[14]Celkem kultura '!E18)</f>
        <v>1970</v>
      </c>
      <c r="J48" s="326"/>
      <c r="K48" s="770">
        <f>SUM('[14]Celkem kultura '!F18)</f>
        <v>2267</v>
      </c>
      <c r="L48" s="328">
        <f t="shared" si="13"/>
        <v>297</v>
      </c>
      <c r="M48" s="329">
        <f t="shared" si="12"/>
        <v>0.15076142131979697</v>
      </c>
      <c r="N48" s="321"/>
    </row>
    <row r="49" spans="1:14" s="289" customFormat="1" ht="17.100000000000001" customHeight="1" x14ac:dyDescent="0.2">
      <c r="A49" s="312"/>
      <c r="B49" s="312"/>
      <c r="C49" s="312"/>
      <c r="D49" s="322" t="s">
        <v>492</v>
      </c>
      <c r="E49" s="599"/>
      <c r="F49" s="331" t="s">
        <v>179</v>
      </c>
      <c r="G49" s="324"/>
      <c r="H49" s="328">
        <f>SUM('[14]Celkem kultura '!D19)</f>
        <v>1030</v>
      </c>
      <c r="I49" s="369">
        <f>SUM('[14]Celkem kultura '!E19)</f>
        <v>1030</v>
      </c>
      <c r="J49" s="326"/>
      <c r="K49" s="770">
        <f>SUM('[14]Celkem kultura '!F19)</f>
        <v>280</v>
      </c>
      <c r="L49" s="328">
        <f t="shared" si="13"/>
        <v>-750</v>
      </c>
      <c r="M49" s="329">
        <f t="shared" si="12"/>
        <v>-0.72815533980582525</v>
      </c>
      <c r="N49" s="321"/>
    </row>
    <row r="50" spans="1:14" s="289" customFormat="1" ht="17.100000000000001" customHeight="1" x14ac:dyDescent="0.2">
      <c r="A50" s="312"/>
      <c r="B50" s="312"/>
      <c r="C50" s="312"/>
      <c r="D50" s="911" t="s">
        <v>493</v>
      </c>
      <c r="E50" s="599"/>
      <c r="F50" s="331" t="s">
        <v>380</v>
      </c>
      <c r="G50" s="324"/>
      <c r="H50" s="328">
        <f>SUM('[14]Celkem kultura '!D20)</f>
        <v>11045</v>
      </c>
      <c r="I50" s="369">
        <f>SUM('[14]Celkem kultura '!E20)</f>
        <v>11045</v>
      </c>
      <c r="J50" s="326"/>
      <c r="K50" s="770">
        <f>SUM('[14]Celkem kultura '!F20)</f>
        <v>6300</v>
      </c>
      <c r="L50" s="328">
        <f t="shared" si="13"/>
        <v>-4745</v>
      </c>
      <c r="M50" s="329">
        <f t="shared" si="12"/>
        <v>-0.42960615663196011</v>
      </c>
      <c r="N50" s="321"/>
    </row>
    <row r="51" spans="1:14" s="289" customFormat="1" ht="17.100000000000001" customHeight="1" x14ac:dyDescent="0.2">
      <c r="A51" s="312"/>
      <c r="B51" s="312"/>
      <c r="C51" s="312"/>
      <c r="D51" s="912" t="s">
        <v>494</v>
      </c>
      <c r="E51" s="598"/>
      <c r="F51" s="323" t="s">
        <v>381</v>
      </c>
      <c r="G51" s="324">
        <f>SUM('[14]Celkem kultura '!C16)</f>
        <v>18718</v>
      </c>
      <c r="H51" s="328">
        <f>SUM('[14]Celkem kultura '!D21)</f>
        <v>9621</v>
      </c>
      <c r="I51" s="369">
        <f>SUM('[14]Celkem kultura '!E21)</f>
        <v>9621</v>
      </c>
      <c r="J51" s="326">
        <v>16823</v>
      </c>
      <c r="K51" s="770">
        <f>SUM('[14]Celkem kultura '!F21)</f>
        <v>8650</v>
      </c>
      <c r="L51" s="328">
        <f t="shared" si="13"/>
        <v>-971</v>
      </c>
      <c r="M51" s="329">
        <f t="shared" si="10"/>
        <v>-0.10092505976509714</v>
      </c>
      <c r="N51" s="321"/>
    </row>
    <row r="52" spans="1:14" s="289" customFormat="1" ht="17.100000000000001" customHeight="1" x14ac:dyDescent="0.2">
      <c r="A52" s="312"/>
      <c r="B52" s="312"/>
      <c r="C52" s="312"/>
      <c r="D52" s="913" t="s">
        <v>495</v>
      </c>
      <c r="E52" s="599"/>
      <c r="F52" s="331" t="s">
        <v>489</v>
      </c>
      <c r="G52" s="324">
        <f>SUM('[14]Celkem kultura '!C17)</f>
        <v>302</v>
      </c>
      <c r="H52" s="328">
        <f>SUM('[14]Celkem kultura '!D22)</f>
        <v>0</v>
      </c>
      <c r="I52" s="369">
        <f>SUM('[14]Celkem kultura '!E22)</f>
        <v>0</v>
      </c>
      <c r="J52" s="324">
        <f>SUM('[14]Celkem kultura '!F17)</f>
        <v>8077</v>
      </c>
      <c r="K52" s="770">
        <f>SUM('[14]Celkem kultura '!F22)</f>
        <v>2822</v>
      </c>
      <c r="L52" s="328">
        <f t="shared" si="13"/>
        <v>2822</v>
      </c>
      <c r="M52" s="329"/>
      <c r="N52" s="321"/>
    </row>
    <row r="53" spans="1:14" s="289" customFormat="1" ht="15.95" customHeight="1" x14ac:dyDescent="0.2">
      <c r="A53" s="312"/>
      <c r="B53" s="312"/>
      <c r="C53" s="312"/>
      <c r="D53" s="348" t="s">
        <v>180</v>
      </c>
      <c r="E53" s="602"/>
      <c r="F53" s="323" t="s">
        <v>179</v>
      </c>
      <c r="G53" s="324" t="e">
        <f>SUM('[14]Celkem kultura '!#REF!)</f>
        <v>#REF!</v>
      </c>
      <c r="H53" s="328">
        <f>SUM('[14]Celkem kultura '!D24)</f>
        <v>20</v>
      </c>
      <c r="I53" s="368">
        <v>20</v>
      </c>
      <c r="J53" s="326">
        <v>20</v>
      </c>
      <c r="K53" s="327">
        <f>SUM('[14]Celkem kultura '!F24)</f>
        <v>20</v>
      </c>
      <c r="L53" s="328">
        <f>K53-H53</f>
        <v>0</v>
      </c>
      <c r="M53" s="329">
        <f>K53/H53-1</f>
        <v>0</v>
      </c>
      <c r="N53" s="321"/>
    </row>
    <row r="54" spans="1:14" s="289" customFormat="1" ht="15.95" customHeight="1" x14ac:dyDescent="0.25">
      <c r="A54" s="312"/>
      <c r="B54" s="312"/>
      <c r="C54" s="312"/>
      <c r="D54" s="334" t="s">
        <v>181</v>
      </c>
      <c r="E54" s="600"/>
      <c r="F54" s="323"/>
      <c r="G54" s="335"/>
      <c r="H54" s="338">
        <f>H56</f>
        <v>895</v>
      </c>
      <c r="I54" s="603">
        <f>I56</f>
        <v>1074</v>
      </c>
      <c r="J54" s="336"/>
      <c r="K54" s="337">
        <f>SUM(K56)</f>
        <v>865</v>
      </c>
      <c r="L54" s="338">
        <f>K54-H54</f>
        <v>-30</v>
      </c>
      <c r="M54" s="339">
        <f t="shared" ref="M54:M56" si="14">K54/H54-1</f>
        <v>-3.3519553072625663E-2</v>
      </c>
      <c r="N54" s="321"/>
    </row>
    <row r="55" spans="1:14" s="289" customFormat="1" ht="15.95" hidden="1" customHeight="1" x14ac:dyDescent="0.2">
      <c r="A55" s="312"/>
      <c r="B55" s="312"/>
      <c r="C55" s="312"/>
      <c r="D55" s="322" t="s">
        <v>496</v>
      </c>
      <c r="E55" s="598"/>
      <c r="F55" s="323" t="s">
        <v>164</v>
      </c>
      <c r="G55" s="324"/>
      <c r="H55" s="328"/>
      <c r="I55" s="368"/>
      <c r="J55" s="326"/>
      <c r="K55" s="327" t="e">
        <f>'[14]PO - kultura'!#REF!</f>
        <v>#REF!</v>
      </c>
      <c r="L55" s="328" t="e">
        <f>K55-H55</f>
        <v>#REF!</v>
      </c>
      <c r="M55" s="329"/>
      <c r="N55" s="321"/>
    </row>
    <row r="56" spans="1:14" s="289" customFormat="1" ht="15.95" customHeight="1" thickBot="1" x14ac:dyDescent="0.25">
      <c r="A56" s="312"/>
      <c r="B56" s="312"/>
      <c r="C56" s="312"/>
      <c r="D56" s="322" t="s">
        <v>182</v>
      </c>
      <c r="E56" s="598"/>
      <c r="F56" s="323" t="s">
        <v>183</v>
      </c>
      <c r="G56" s="324"/>
      <c r="H56" s="328">
        <f>SUM('[14]Celkem kultura '!D28)</f>
        <v>895</v>
      </c>
      <c r="I56" s="369">
        <f>SUM('[14]PO - kultura'!AA20)</f>
        <v>1074</v>
      </c>
      <c r="J56" s="326"/>
      <c r="K56" s="327">
        <f>SUM('[14]Celkem kultura '!F28)</f>
        <v>865</v>
      </c>
      <c r="L56" s="328">
        <f t="shared" si="11"/>
        <v>-30</v>
      </c>
      <c r="M56" s="329">
        <f t="shared" si="14"/>
        <v>-3.3519553072625663E-2</v>
      </c>
      <c r="N56" s="321"/>
    </row>
    <row r="57" spans="1:14" ht="24.95" customHeight="1" x14ac:dyDescent="0.2">
      <c r="A57" s="604"/>
      <c r="B57" s="604"/>
      <c r="C57" s="604"/>
      <c r="D57" s="313" t="s">
        <v>184</v>
      </c>
      <c r="E57" s="597" t="s">
        <v>235</v>
      </c>
      <c r="F57" s="314"/>
      <c r="G57" s="315">
        <f>SUM(G58:G64)</f>
        <v>225810</v>
      </c>
      <c r="H57" s="319">
        <f>SUM(H58:H64)</f>
        <v>420824</v>
      </c>
      <c r="I57" s="362">
        <f>SUM(I58:I64)</f>
        <v>419958</v>
      </c>
      <c r="J57" s="317">
        <f>SUM(J58:J64)</f>
        <v>273463</v>
      </c>
      <c r="K57" s="318">
        <f>SUM(K58:K64)</f>
        <v>362744</v>
      </c>
      <c r="L57" s="319">
        <f>K57-H57</f>
        <v>-58080</v>
      </c>
      <c r="M57" s="320">
        <f>K57/H57-1</f>
        <v>-0.13801494211356768</v>
      </c>
      <c r="N57" s="605"/>
    </row>
    <row r="58" spans="1:14" ht="17.100000000000001" customHeight="1" x14ac:dyDescent="0.2">
      <c r="A58" s="604"/>
      <c r="B58" s="604"/>
      <c r="C58" s="604"/>
      <c r="D58" s="322" t="s">
        <v>160</v>
      </c>
      <c r="E58" s="598"/>
      <c r="F58" s="323" t="s">
        <v>161</v>
      </c>
      <c r="G58" s="324">
        <f>SUM('[14]Celkem zdravotnictví'!C11)</f>
        <v>74123</v>
      </c>
      <c r="H58" s="328">
        <f>SUM('[14]Celkem zdravotnictví'!D11)</f>
        <v>13183</v>
      </c>
      <c r="I58" s="369">
        <f>SUM('[14]Celkem zdravotnictví'!E11)</f>
        <v>11888</v>
      </c>
      <c r="J58" s="326">
        <v>96028</v>
      </c>
      <c r="K58" s="327">
        <f>SUM('[14]Celkem zdravotnictví'!F11)</f>
        <v>36294</v>
      </c>
      <c r="L58" s="328">
        <f>K58-H58</f>
        <v>23111</v>
      </c>
      <c r="M58" s="329">
        <f>K58/H58-1</f>
        <v>1.7530911021770463</v>
      </c>
      <c r="N58" s="605"/>
    </row>
    <row r="59" spans="1:14" s="289" customFormat="1" ht="17.100000000000001" customHeight="1" x14ac:dyDescent="0.2">
      <c r="A59" s="312"/>
      <c r="B59" s="312"/>
      <c r="C59" s="312"/>
      <c r="D59" s="322" t="s">
        <v>483</v>
      </c>
      <c r="E59" s="598"/>
      <c r="F59" s="323" t="s">
        <v>162</v>
      </c>
      <c r="G59" s="324"/>
      <c r="H59" s="328">
        <f>SUM('[14]Celkem zdravotnictví'!D12)</f>
        <v>323282</v>
      </c>
      <c r="I59" s="369">
        <f>SUM('[14]Celkem zdravotnictví'!E12)</f>
        <v>323282</v>
      </c>
      <c r="J59" s="326"/>
      <c r="K59" s="327">
        <f>SUM('[14]Celkem zdravotnictví'!F12)</f>
        <v>264148</v>
      </c>
      <c r="L59" s="328">
        <f t="shared" ref="L59:L64" si="15">K59-H59</f>
        <v>-59134</v>
      </c>
      <c r="M59" s="329">
        <f t="shared" ref="M59:M60" si="16">IF(H59=0,"",K59/H59-1)</f>
        <v>-0.18291770033592958</v>
      </c>
      <c r="N59" s="321"/>
    </row>
    <row r="60" spans="1:14" s="289" customFormat="1" ht="17.100000000000001" customHeight="1" x14ac:dyDescent="0.2">
      <c r="A60" s="312"/>
      <c r="B60" s="312"/>
      <c r="C60" s="312"/>
      <c r="D60" s="322" t="s">
        <v>484</v>
      </c>
      <c r="E60" s="598"/>
      <c r="F60" s="323" t="s">
        <v>163</v>
      </c>
      <c r="G60" s="324"/>
      <c r="H60" s="328">
        <f>SUM('[14]Celkem zdravotnictví'!D13)</f>
        <v>42533</v>
      </c>
      <c r="I60" s="369">
        <f>SUM('[14]Celkem zdravotnictví'!E13)</f>
        <v>42533</v>
      </c>
      <c r="J60" s="326"/>
      <c r="K60" s="327">
        <f>SUM('[14]Celkem zdravotnictví'!F13)</f>
        <v>36712</v>
      </c>
      <c r="L60" s="328">
        <f t="shared" si="15"/>
        <v>-5821</v>
      </c>
      <c r="M60" s="329">
        <f t="shared" si="16"/>
        <v>-0.13685843932946185</v>
      </c>
      <c r="N60" s="321"/>
    </row>
    <row r="61" spans="1:14" ht="17.100000000000001" customHeight="1" x14ac:dyDescent="0.2">
      <c r="A61" s="604"/>
      <c r="B61" s="604"/>
      <c r="C61" s="604"/>
      <c r="D61" s="330" t="s">
        <v>485</v>
      </c>
      <c r="E61" s="599"/>
      <c r="F61" s="331" t="s">
        <v>164</v>
      </c>
      <c r="G61" s="324">
        <f>SUM('[14]Celkem zdravotnictví'!C12)</f>
        <v>129005</v>
      </c>
      <c r="H61" s="328">
        <f>SUM('[14]Celkem zdravotnictví'!D14)</f>
        <v>2676</v>
      </c>
      <c r="I61" s="369">
        <f>SUM('[14]Celkem zdravotnictví'!E14)</f>
        <v>2676</v>
      </c>
      <c r="J61" s="326">
        <v>151438</v>
      </c>
      <c r="K61" s="327">
        <f>SUM('[14]Celkem zdravotnictví'!F14)</f>
        <v>2676</v>
      </c>
      <c r="L61" s="328">
        <f t="shared" si="15"/>
        <v>0</v>
      </c>
      <c r="M61" s="329">
        <f>K61/H61-1</f>
        <v>0</v>
      </c>
      <c r="N61" s="605"/>
    </row>
    <row r="62" spans="1:14" ht="17.100000000000001" customHeight="1" x14ac:dyDescent="0.2">
      <c r="A62" s="604"/>
      <c r="B62" s="604"/>
      <c r="C62" s="604"/>
      <c r="D62" s="322" t="s">
        <v>486</v>
      </c>
      <c r="E62" s="598"/>
      <c r="F62" s="323" t="s">
        <v>380</v>
      </c>
      <c r="G62" s="324">
        <f>SUM('[14]Celkem zdravotnictví'!C13)</f>
        <v>14538</v>
      </c>
      <c r="H62" s="328">
        <f>SUM('[14]Celkem zdravotnictví'!D15)</f>
        <v>24356</v>
      </c>
      <c r="I62" s="369">
        <f>SUM('[14]Celkem zdravotnictví'!E15)</f>
        <v>24591</v>
      </c>
      <c r="J62" s="326">
        <v>25997</v>
      </c>
      <c r="K62" s="327">
        <f>SUM('[14]Celkem zdravotnictví'!F15)</f>
        <v>11700</v>
      </c>
      <c r="L62" s="328">
        <f t="shared" si="15"/>
        <v>-12656</v>
      </c>
      <c r="M62" s="329">
        <f>K62/H62-1</f>
        <v>-0.51962555427820667</v>
      </c>
      <c r="N62" s="605"/>
    </row>
    <row r="63" spans="1:14" ht="17.100000000000001" customHeight="1" x14ac:dyDescent="0.2">
      <c r="A63" s="604"/>
      <c r="B63" s="604"/>
      <c r="C63" s="604"/>
      <c r="D63" s="322" t="s">
        <v>487</v>
      </c>
      <c r="E63" s="323"/>
      <c r="F63" s="323" t="s">
        <v>381</v>
      </c>
      <c r="G63" s="324">
        <f>SUM('[14]Celkem zdravotnictví'!C14)</f>
        <v>0</v>
      </c>
      <c r="H63" s="328">
        <f>SUM('[14]Celkem zdravotnictví'!D16)</f>
        <v>14794</v>
      </c>
      <c r="I63" s="369">
        <f>SUM('[14]Celkem zdravotnictví'!E16)</f>
        <v>14988</v>
      </c>
      <c r="J63" s="326"/>
      <c r="K63" s="327">
        <f>SUM('[14]Celkem zdravotnictví'!F16)</f>
        <v>9500</v>
      </c>
      <c r="L63" s="328">
        <f t="shared" si="15"/>
        <v>-5294</v>
      </c>
      <c r="M63" s="329">
        <f>K63/H63-1</f>
        <v>-0.35784777612545626</v>
      </c>
      <c r="N63" s="605"/>
    </row>
    <row r="64" spans="1:14" ht="15" thickBot="1" x14ac:dyDescent="0.25">
      <c r="A64" s="604"/>
      <c r="B64" s="914"/>
      <c r="C64" s="604"/>
      <c r="D64" s="909" t="s">
        <v>488</v>
      </c>
      <c r="E64" s="323"/>
      <c r="F64" s="323" t="s">
        <v>489</v>
      </c>
      <c r="G64" s="915">
        <f>SUM('[14]Celkem zdravotnictví'!C18)</f>
        <v>8144</v>
      </c>
      <c r="H64" s="328">
        <f>SUM('[14]Celkem zdravotnictví'!D17)</f>
        <v>0</v>
      </c>
      <c r="I64" s="369">
        <f>SUM('[14]Celkem zdravotnictví'!E17)</f>
        <v>0</v>
      </c>
      <c r="J64" s="326"/>
      <c r="K64" s="327">
        <f>SUM('[14]Celkem zdravotnictví'!F17)</f>
        <v>1714</v>
      </c>
      <c r="L64" s="328">
        <f t="shared" si="15"/>
        <v>1714</v>
      </c>
      <c r="M64" s="329"/>
      <c r="N64" s="605"/>
    </row>
    <row r="65" spans="1:16" s="333" customFormat="1" ht="24.95" customHeight="1" thickBot="1" x14ac:dyDescent="0.25">
      <c r="A65" s="332"/>
      <c r="B65" s="332"/>
      <c r="C65" s="332"/>
      <c r="D65" s="349" t="s">
        <v>296</v>
      </c>
      <c r="E65" s="606" t="s">
        <v>297</v>
      </c>
      <c r="F65" s="350"/>
      <c r="G65" s="859">
        <v>0</v>
      </c>
      <c r="H65" s="351">
        <f>SUM(H66:H68)</f>
        <v>170000</v>
      </c>
      <c r="I65" s="351">
        <f t="shared" ref="I65:J65" si="17">SUM(I66:I68)</f>
        <v>160768</v>
      </c>
      <c r="J65" s="351">
        <f t="shared" si="17"/>
        <v>247466</v>
      </c>
      <c r="K65" s="351">
        <f>SUM(K66:K69)</f>
        <v>140000</v>
      </c>
      <c r="L65" s="351">
        <f>K65-H65</f>
        <v>-30000</v>
      </c>
      <c r="M65" s="377">
        <f>K65/H65-1</f>
        <v>-0.17647058823529416</v>
      </c>
      <c r="N65" s="321"/>
    </row>
    <row r="66" spans="1:16" s="921" customFormat="1" ht="16.149999999999999" customHeight="1" x14ac:dyDescent="0.2">
      <c r="A66" s="916"/>
      <c r="B66" s="916"/>
      <c r="C66" s="916"/>
      <c r="D66" s="917" t="s">
        <v>383</v>
      </c>
      <c r="E66" s="918"/>
      <c r="F66" s="919" t="s">
        <v>185</v>
      </c>
      <c r="G66" s="369">
        <f>SUM('[14]Celkem zdravotnictví'!C21)</f>
        <v>0</v>
      </c>
      <c r="H66" s="328">
        <f>SUM('[14]rezerva PO'!E15)</f>
        <v>20000</v>
      </c>
      <c r="I66" s="369">
        <f>SUM('[14]rezerva PO'!G15)</f>
        <v>21757</v>
      </c>
      <c r="J66" s="326">
        <v>96028</v>
      </c>
      <c r="K66" s="327">
        <f>SUM('[14]rezerva PO'!I15)</f>
        <v>30000</v>
      </c>
      <c r="L66" s="328">
        <f>K66-H66</f>
        <v>10000</v>
      </c>
      <c r="M66" s="329">
        <f>K66/H66-1</f>
        <v>0.5</v>
      </c>
      <c r="N66" s="920"/>
    </row>
    <row r="67" spans="1:16" s="921" customFormat="1" ht="16.149999999999999" customHeight="1" x14ac:dyDescent="0.2">
      <c r="A67" s="916"/>
      <c r="B67" s="916"/>
      <c r="C67" s="916"/>
      <c r="D67" s="922" t="s">
        <v>384</v>
      </c>
      <c r="E67" s="923"/>
      <c r="F67" s="924" t="s">
        <v>385</v>
      </c>
      <c r="G67" s="369">
        <f>SUM('[14]Celkem zdravotnictví'!C22)</f>
        <v>0</v>
      </c>
      <c r="H67" s="328">
        <f>SUM('[14]rezerva PO'!E16)</f>
        <v>100000</v>
      </c>
      <c r="I67" s="369">
        <f>SUM('[14]rezerva PO'!G16)</f>
        <v>89011</v>
      </c>
      <c r="J67" s="326">
        <v>151438</v>
      </c>
      <c r="K67" s="327">
        <f>SUM('[14]rezerva PO'!I16)</f>
        <v>60000</v>
      </c>
      <c r="L67" s="328">
        <f t="shared" ref="L67:L68" si="18">K67-H67</f>
        <v>-40000</v>
      </c>
      <c r="M67" s="329">
        <f t="shared" ref="M67:M68" si="19">K67/H67-1</f>
        <v>-0.4</v>
      </c>
      <c r="N67" s="920"/>
    </row>
    <row r="68" spans="1:16" s="921" customFormat="1" ht="16.149999999999999" customHeight="1" thickBot="1" x14ac:dyDescent="0.25">
      <c r="A68" s="916"/>
      <c r="B68" s="916"/>
      <c r="C68" s="916"/>
      <c r="D68" s="922" t="s">
        <v>386</v>
      </c>
      <c r="E68" s="923"/>
      <c r="F68" s="924" t="s">
        <v>171</v>
      </c>
      <c r="G68" s="860"/>
      <c r="H68" s="328">
        <f>SUM('[14]rezerva PO'!E17)</f>
        <v>50000</v>
      </c>
      <c r="I68" s="369">
        <f>SUM('[14]rezerva PO'!G17)</f>
        <v>50000</v>
      </c>
      <c r="J68" s="861"/>
      <c r="K68" s="327">
        <f>SUM('[14]rezerva PO'!I17)</f>
        <v>0</v>
      </c>
      <c r="L68" s="328">
        <f t="shared" si="18"/>
        <v>-50000</v>
      </c>
      <c r="M68" s="329">
        <f t="shared" si="19"/>
        <v>-1</v>
      </c>
      <c r="N68" s="920"/>
    </row>
    <row r="69" spans="1:16" s="921" customFormat="1" ht="16.149999999999999" customHeight="1" thickTop="1" thickBot="1" x14ac:dyDescent="0.25">
      <c r="A69" s="916"/>
      <c r="B69" s="916"/>
      <c r="C69" s="916"/>
      <c r="D69" s="922" t="s">
        <v>497</v>
      </c>
      <c r="E69" s="923"/>
      <c r="F69" s="924" t="s">
        <v>498</v>
      </c>
      <c r="G69" s="369"/>
      <c r="H69" s="328"/>
      <c r="I69" s="369"/>
      <c r="J69" s="324"/>
      <c r="K69" s="324">
        <v>50000</v>
      </c>
      <c r="L69" s="328"/>
      <c r="M69" s="329"/>
      <c r="N69" s="920"/>
    </row>
    <row r="70" spans="1:16" s="358" customFormat="1" ht="30" customHeight="1" thickTop="1" thickBot="1" x14ac:dyDescent="0.3">
      <c r="A70" s="352"/>
      <c r="B70" s="352"/>
      <c r="C70" s="352"/>
      <c r="D70" s="925" t="s">
        <v>186</v>
      </c>
      <c r="E70" s="926"/>
      <c r="F70" s="927"/>
      <c r="G70" s="928" t="e">
        <f>SUM(G9,G17,G25,G42,G57,G66)</f>
        <v>#REF!</v>
      </c>
      <c r="H70" s="608">
        <f>SUM(H9,H17,H25,H42,H57,H65)</f>
        <v>4535038</v>
      </c>
      <c r="I70" s="608">
        <f t="shared" ref="I70:J70" si="20">SUM(I9,I17,I25,I42,I57,I65)</f>
        <v>4549484</v>
      </c>
      <c r="J70" s="608">
        <f t="shared" si="20"/>
        <v>2989249</v>
      </c>
      <c r="K70" s="608">
        <f>SUM(K9,K17,K25,K42,K57,K65)</f>
        <v>4429617</v>
      </c>
      <c r="L70" s="355">
        <f>K70-H70</f>
        <v>-105421</v>
      </c>
      <c r="M70" s="356">
        <f>K70/H70-1</f>
        <v>-2.3245891214142E-2</v>
      </c>
      <c r="N70" s="357"/>
    </row>
    <row r="71" spans="1:16" ht="15.95" hidden="1" customHeight="1" x14ac:dyDescent="0.25">
      <c r="A71" s="604"/>
      <c r="B71" s="604"/>
      <c r="C71" s="604"/>
      <c r="D71" s="929" t="s">
        <v>499</v>
      </c>
      <c r="E71" s="930"/>
      <c r="F71" s="931"/>
      <c r="G71" s="932">
        <f>9106+550+451634+339314+2013804</f>
        <v>2814408</v>
      </c>
      <c r="H71" s="929"/>
      <c r="I71" s="933"/>
      <c r="J71" s="934"/>
      <c r="K71" s="935"/>
      <c r="L71" s="936"/>
      <c r="M71" s="937"/>
      <c r="N71" s="609"/>
    </row>
    <row r="72" spans="1:16" ht="23.25" hidden="1" customHeight="1" x14ac:dyDescent="0.25">
      <c r="D72" s="938" t="s">
        <v>186</v>
      </c>
      <c r="E72" s="939"/>
      <c r="F72" s="940"/>
      <c r="G72" s="941" t="e">
        <f>SUM(G70:G71)</f>
        <v>#REF!</v>
      </c>
      <c r="H72" s="942">
        <f>SUM(H70)</f>
        <v>4535038</v>
      </c>
      <c r="I72" s="943">
        <f t="shared" ref="I72:L72" si="21">SUM(I70)</f>
        <v>4549484</v>
      </c>
      <c r="J72" s="943">
        <f t="shared" si="21"/>
        <v>2989249</v>
      </c>
      <c r="K72" s="944">
        <f t="shared" si="21"/>
        <v>4429617</v>
      </c>
      <c r="L72" s="945">
        <f t="shared" si="21"/>
        <v>-105421</v>
      </c>
      <c r="M72" s="946">
        <f>K72/H72-1</f>
        <v>-2.3245891214142E-2</v>
      </c>
      <c r="O72" s="604"/>
      <c r="P72" s="604"/>
    </row>
    <row r="73" spans="1:16" x14ac:dyDescent="0.2">
      <c r="I73" s="610"/>
      <c r="J73" s="610"/>
      <c r="K73" s="947"/>
    </row>
    <row r="74" spans="1:16" s="289" customFormat="1" ht="18.75" thickBot="1" x14ac:dyDescent="0.3">
      <c r="D74" s="359" t="s">
        <v>23</v>
      </c>
      <c r="E74" s="611"/>
      <c r="F74" s="360"/>
      <c r="G74" s="360"/>
      <c r="K74" s="140"/>
      <c r="L74" s="140"/>
      <c r="M74" s="300" t="s">
        <v>0</v>
      </c>
      <c r="N74" s="140"/>
    </row>
    <row r="75" spans="1:16" s="289" customFormat="1" ht="15.75" customHeight="1" x14ac:dyDescent="0.25">
      <c r="D75" s="948"/>
      <c r="E75" s="949"/>
      <c r="F75" s="594"/>
      <c r="G75" s="303">
        <v>2015</v>
      </c>
      <c r="H75" s="1096">
        <v>2023</v>
      </c>
      <c r="I75" s="1097"/>
      <c r="J75" s="1098"/>
      <c r="K75" s="906">
        <v>2024</v>
      </c>
      <c r="L75" s="1077" t="s">
        <v>481</v>
      </c>
      <c r="M75" s="1078"/>
      <c r="N75" s="140"/>
    </row>
    <row r="76" spans="1:16" s="289" customFormat="1" ht="15.75" customHeight="1" x14ac:dyDescent="0.2">
      <c r="D76" s="1079" t="s">
        <v>147</v>
      </c>
      <c r="E76" s="950"/>
      <c r="F76" s="1081" t="s">
        <v>133</v>
      </c>
      <c r="G76" s="1083" t="s">
        <v>148</v>
      </c>
      <c r="H76" s="1085" t="s">
        <v>149</v>
      </c>
      <c r="I76" s="1087" t="s">
        <v>482</v>
      </c>
      <c r="J76" s="1089" t="s">
        <v>150</v>
      </c>
      <c r="K76" s="1091" t="s">
        <v>151</v>
      </c>
      <c r="L76" s="1092" t="s">
        <v>333</v>
      </c>
      <c r="M76" s="1094" t="s">
        <v>152</v>
      </c>
      <c r="N76" s="140"/>
    </row>
    <row r="77" spans="1:16" s="289" customFormat="1" ht="35.25" customHeight="1" thickBot="1" x14ac:dyDescent="0.25">
      <c r="D77" s="1080"/>
      <c r="E77" s="951"/>
      <c r="F77" s="1082"/>
      <c r="G77" s="1084"/>
      <c r="H77" s="1086"/>
      <c r="I77" s="1088"/>
      <c r="J77" s="1090"/>
      <c r="K77" s="1084"/>
      <c r="L77" s="1093"/>
      <c r="M77" s="1095"/>
      <c r="N77" s="140"/>
    </row>
    <row r="78" spans="1:16" s="289" customFormat="1" ht="15" customHeight="1" thickTop="1" thickBot="1" x14ac:dyDescent="0.25">
      <c r="D78" s="952"/>
      <c r="E78" s="953"/>
      <c r="F78" s="954"/>
      <c r="G78" s="306" t="s">
        <v>153</v>
      </c>
      <c r="H78" s="307" t="s">
        <v>153</v>
      </c>
      <c r="I78" s="308" t="s">
        <v>154</v>
      </c>
      <c r="J78" s="309" t="s">
        <v>155</v>
      </c>
      <c r="K78" s="306" t="s">
        <v>156</v>
      </c>
      <c r="L78" s="310" t="s">
        <v>157</v>
      </c>
      <c r="M78" s="311" t="s">
        <v>158</v>
      </c>
      <c r="N78" s="140"/>
    </row>
    <row r="79" spans="1:16" s="361" customFormat="1" ht="24.95" customHeight="1" x14ac:dyDescent="0.25">
      <c r="D79" s="955" t="s">
        <v>168</v>
      </c>
      <c r="E79" s="956"/>
      <c r="F79" s="957"/>
      <c r="G79" s="318" t="e">
        <f>SUM(G80:G90)</f>
        <v>#REF!</v>
      </c>
      <c r="H79" s="362">
        <f>SUM(H80:H91)</f>
        <v>2708143</v>
      </c>
      <c r="I79" s="316">
        <f>SUM(I80:I91)</f>
        <v>2718329</v>
      </c>
      <c r="J79" s="363" t="e">
        <f>SUM(J80:J90)</f>
        <v>#REF!</v>
      </c>
      <c r="K79" s="364">
        <f>SUM(K80:K90)</f>
        <v>2401752</v>
      </c>
      <c r="L79" s="365">
        <f>K79-H79</f>
        <v>-306391</v>
      </c>
      <c r="M79" s="366">
        <f>K79/H79-1</f>
        <v>-0.11313693553110005</v>
      </c>
      <c r="N79" s="367"/>
    </row>
    <row r="80" spans="1:16" s="333" customFormat="1" ht="17.100000000000001" customHeight="1" x14ac:dyDescent="0.2">
      <c r="D80" s="958" t="s">
        <v>160</v>
      </c>
      <c r="E80" s="923"/>
      <c r="F80" s="959" t="s">
        <v>161</v>
      </c>
      <c r="G80" s="327" t="e">
        <f>SUM(G10,G18,G27,G44,G58)</f>
        <v>#REF!</v>
      </c>
      <c r="H80" s="368">
        <f>SUM(H10,H18,H27,H44,H58)</f>
        <v>559517</v>
      </c>
      <c r="I80" s="325">
        <f>SUM(I10,I18,I27,I44,I58)</f>
        <v>545094</v>
      </c>
      <c r="J80" s="369">
        <v>1066610</v>
      </c>
      <c r="K80" s="327">
        <f>SUM(K10,K18,K27,K44,K58)</f>
        <v>522551</v>
      </c>
      <c r="L80" s="368">
        <f>K80-H80</f>
        <v>-36966</v>
      </c>
      <c r="M80" s="329">
        <f>K80/H80-1</f>
        <v>-6.6067697674958903E-2</v>
      </c>
      <c r="N80" s="163"/>
    </row>
    <row r="81" spans="1:14" s="289" customFormat="1" ht="17.100000000000001" customHeight="1" x14ac:dyDescent="0.2">
      <c r="A81" s="312"/>
      <c r="B81" s="312"/>
      <c r="C81" s="312"/>
      <c r="D81" s="958" t="s">
        <v>483</v>
      </c>
      <c r="E81" s="923"/>
      <c r="F81" s="959" t="s">
        <v>162</v>
      </c>
      <c r="G81" s="324"/>
      <c r="H81" s="368">
        <f t="shared" ref="H81:I83" si="22">SUM(H11,H19,H28,H45,H59)</f>
        <v>1117447</v>
      </c>
      <c r="I81" s="325">
        <f t="shared" si="22"/>
        <v>1127532</v>
      </c>
      <c r="J81" s="326"/>
      <c r="K81" s="327">
        <f>SUM(K11,K19,K28,K45,K59)</f>
        <v>1051286</v>
      </c>
      <c r="L81" s="328">
        <f>K81-H81</f>
        <v>-66161</v>
      </c>
      <c r="M81" s="329">
        <f t="shared" ref="M81:M82" si="23">IF(H81=0,"",K81/H81-1)</f>
        <v>-5.9207282314060583E-2</v>
      </c>
      <c r="N81" s="321"/>
    </row>
    <row r="82" spans="1:14" s="289" customFormat="1" ht="17.100000000000001" customHeight="1" x14ac:dyDescent="0.2">
      <c r="A82" s="312"/>
      <c r="B82" s="312"/>
      <c r="C82" s="312"/>
      <c r="D82" s="958" t="s">
        <v>484</v>
      </c>
      <c r="E82" s="923"/>
      <c r="F82" s="959" t="s">
        <v>163</v>
      </c>
      <c r="G82" s="324"/>
      <c r="H82" s="368">
        <f t="shared" si="22"/>
        <v>371250</v>
      </c>
      <c r="I82" s="325">
        <f t="shared" si="22"/>
        <v>371250</v>
      </c>
      <c r="J82" s="326"/>
      <c r="K82" s="327">
        <f>SUM(K12,K20,K29,K46,K60)</f>
        <v>366351</v>
      </c>
      <c r="L82" s="328">
        <f t="shared" ref="L82" si="24">K82-H82</f>
        <v>-4899</v>
      </c>
      <c r="M82" s="329">
        <f t="shared" si="23"/>
        <v>-1.319595959595965E-2</v>
      </c>
      <c r="N82" s="321"/>
    </row>
    <row r="83" spans="1:14" s="333" customFormat="1" ht="17.100000000000001" customHeight="1" x14ac:dyDescent="0.2">
      <c r="D83" s="960" t="s">
        <v>485</v>
      </c>
      <c r="E83" s="961"/>
      <c r="F83" s="962" t="s">
        <v>164</v>
      </c>
      <c r="G83" s="327" t="e">
        <f>SUM(G11,#REF!,G47,G61)</f>
        <v>#REF!</v>
      </c>
      <c r="H83" s="368">
        <f t="shared" si="22"/>
        <v>9181</v>
      </c>
      <c r="I83" s="325">
        <f t="shared" si="22"/>
        <v>32508</v>
      </c>
      <c r="J83" s="369">
        <v>238313</v>
      </c>
      <c r="K83" s="327">
        <f>SUM(K13,K21,K30,K47,K61)</f>
        <v>11503</v>
      </c>
      <c r="L83" s="368">
        <f>K83-H83</f>
        <v>2322</v>
      </c>
      <c r="M83" s="329">
        <f t="shared" ref="M83:M90" si="25">K83/H83-1</f>
        <v>0.25291362596667022</v>
      </c>
      <c r="N83" s="163"/>
    </row>
    <row r="84" spans="1:14" s="333" customFormat="1" ht="17.100000000000001" customHeight="1" x14ac:dyDescent="0.2">
      <c r="D84" s="958" t="s">
        <v>500</v>
      </c>
      <c r="E84" s="923"/>
      <c r="F84" s="959" t="s">
        <v>165</v>
      </c>
      <c r="G84" s="327" t="e">
        <f>SUM(G12,#REF!,#REF!,G51,G62)</f>
        <v>#REF!</v>
      </c>
      <c r="H84" s="368">
        <f>SUM(H48)</f>
        <v>1970</v>
      </c>
      <c r="I84" s="325">
        <f>SUM(I48)</f>
        <v>1970</v>
      </c>
      <c r="J84" s="369">
        <v>329855</v>
      </c>
      <c r="K84" s="327">
        <f>SUM(K48)</f>
        <v>2267</v>
      </c>
      <c r="L84" s="368">
        <f t="shared" ref="L84:L94" si="26">K84-H84</f>
        <v>297</v>
      </c>
      <c r="M84" s="329">
        <f t="shared" si="25"/>
        <v>0.15076142131979697</v>
      </c>
      <c r="N84" s="163"/>
    </row>
    <row r="85" spans="1:14" s="333" customFormat="1" ht="17.100000000000001" customHeight="1" x14ac:dyDescent="0.2">
      <c r="D85" s="958" t="s">
        <v>492</v>
      </c>
      <c r="E85" s="961"/>
      <c r="F85" s="962" t="s">
        <v>179</v>
      </c>
      <c r="G85" s="327" t="e">
        <f>SUM(G13,#REF!,#REF!,G52,G63)</f>
        <v>#REF!</v>
      </c>
      <c r="H85" s="324">
        <f>SUM(H49)</f>
        <v>1030</v>
      </c>
      <c r="I85" s="325">
        <f>SUM(I49)</f>
        <v>1030</v>
      </c>
      <c r="J85" s="369" t="e">
        <f>#REF!</f>
        <v>#REF!</v>
      </c>
      <c r="K85" s="327">
        <f>SUM(K49)</f>
        <v>280</v>
      </c>
      <c r="L85" s="368">
        <f t="shared" si="26"/>
        <v>-750</v>
      </c>
      <c r="M85" s="329">
        <f t="shared" si="25"/>
        <v>-0.72815533980582525</v>
      </c>
      <c r="N85" s="163"/>
    </row>
    <row r="86" spans="1:14" s="333" customFormat="1" ht="17.100000000000001" customHeight="1" x14ac:dyDescent="0.2">
      <c r="D86" s="963" t="s">
        <v>493</v>
      </c>
      <c r="E86" s="961"/>
      <c r="F86" s="962" t="s">
        <v>380</v>
      </c>
      <c r="G86" s="327" t="e">
        <f>SUM(G14,#REF!,G64)</f>
        <v>#REF!</v>
      </c>
      <c r="H86" s="368">
        <f t="shared" ref="H86:I88" si="27">SUM(H14,H22,H31,H50,H62)</f>
        <v>293529</v>
      </c>
      <c r="I86" s="325">
        <f t="shared" si="27"/>
        <v>293764</v>
      </c>
      <c r="J86" s="369">
        <v>1798</v>
      </c>
      <c r="K86" s="327">
        <f>SUM(K14,K22,K31,K50,K62)</f>
        <v>132851</v>
      </c>
      <c r="L86" s="368">
        <f t="shared" si="26"/>
        <v>-160678</v>
      </c>
      <c r="M86" s="329">
        <f t="shared" si="25"/>
        <v>-0.54740076789686887</v>
      </c>
      <c r="N86" s="163"/>
    </row>
    <row r="87" spans="1:14" s="333" customFormat="1" ht="17.100000000000001" customHeight="1" x14ac:dyDescent="0.2">
      <c r="D87" s="964" t="s">
        <v>494</v>
      </c>
      <c r="E87" s="923"/>
      <c r="F87" s="959" t="s">
        <v>381</v>
      </c>
      <c r="G87" s="327"/>
      <c r="H87" s="368">
        <f t="shared" si="27"/>
        <v>184199</v>
      </c>
      <c r="I87" s="325">
        <f t="shared" si="27"/>
        <v>184393</v>
      </c>
      <c r="J87" s="369"/>
      <c r="K87" s="327">
        <f>SUM(K15,K23,K32,K51,K63)</f>
        <v>119766</v>
      </c>
      <c r="L87" s="368">
        <f t="shared" si="26"/>
        <v>-64433</v>
      </c>
      <c r="M87" s="329">
        <f t="shared" si="25"/>
        <v>-0.34980103040733124</v>
      </c>
      <c r="N87" s="163"/>
    </row>
    <row r="88" spans="1:14" s="333" customFormat="1" ht="17.100000000000001" customHeight="1" x14ac:dyDescent="0.2">
      <c r="D88" s="965" t="s">
        <v>495</v>
      </c>
      <c r="E88" s="961"/>
      <c r="F88" s="962" t="s">
        <v>489</v>
      </c>
      <c r="G88" s="327"/>
      <c r="H88" s="368">
        <f t="shared" si="27"/>
        <v>0</v>
      </c>
      <c r="I88" s="325">
        <f t="shared" si="27"/>
        <v>0</v>
      </c>
      <c r="J88" s="369"/>
      <c r="K88" s="327">
        <f>SUM(K16,K24,K33,K52,K64)</f>
        <v>54877</v>
      </c>
      <c r="L88" s="368">
        <f t="shared" si="26"/>
        <v>54877</v>
      </c>
      <c r="M88" s="329"/>
      <c r="N88" s="163"/>
    </row>
    <row r="89" spans="1:14" s="333" customFormat="1" ht="17.100000000000001" customHeight="1" x14ac:dyDescent="0.2">
      <c r="D89" s="966" t="s">
        <v>501</v>
      </c>
      <c r="E89" s="967"/>
      <c r="F89" s="959" t="s">
        <v>179</v>
      </c>
      <c r="G89" s="327"/>
      <c r="H89" s="368">
        <f>SUM(H53)</f>
        <v>20</v>
      </c>
      <c r="I89" s="325">
        <f>SUM(I53)</f>
        <v>20</v>
      </c>
      <c r="J89" s="369"/>
      <c r="K89" s="327">
        <f>SUM(K53)</f>
        <v>20</v>
      </c>
      <c r="L89" s="368">
        <f t="shared" si="26"/>
        <v>0</v>
      </c>
      <c r="M89" s="329">
        <f t="shared" si="25"/>
        <v>0</v>
      </c>
      <c r="N89" s="163"/>
    </row>
    <row r="90" spans="1:14" s="333" customFormat="1" ht="17.100000000000001" customHeight="1" thickBot="1" x14ac:dyDescent="0.25">
      <c r="D90" s="958" t="s">
        <v>502</v>
      </c>
      <c r="E90" s="923"/>
      <c r="F90" s="959"/>
      <c r="G90" s="327">
        <f>SUM(G66)</f>
        <v>0</v>
      </c>
      <c r="H90" s="368">
        <f>H65</f>
        <v>170000</v>
      </c>
      <c r="I90" s="325">
        <f>I65</f>
        <v>160768</v>
      </c>
      <c r="J90" s="369">
        <f>I90</f>
        <v>160768</v>
      </c>
      <c r="K90" s="327">
        <f>K65</f>
        <v>140000</v>
      </c>
      <c r="L90" s="368">
        <f t="shared" si="26"/>
        <v>-30000</v>
      </c>
      <c r="M90" s="329">
        <f t="shared" si="25"/>
        <v>-0.17647058823529416</v>
      </c>
      <c r="N90" s="163"/>
    </row>
    <row r="91" spans="1:14" s="333" customFormat="1" ht="18" hidden="1" customHeight="1" thickTop="1" thickBot="1" x14ac:dyDescent="0.25">
      <c r="D91" s="958" t="s">
        <v>503</v>
      </c>
      <c r="E91" s="923"/>
      <c r="F91" s="959" t="s">
        <v>504</v>
      </c>
      <c r="G91" s="327"/>
      <c r="H91" s="368"/>
      <c r="I91" s="325"/>
      <c r="J91" s="369"/>
      <c r="K91" s="327">
        <f>K66</f>
        <v>30000</v>
      </c>
      <c r="L91" s="368">
        <f t="shared" si="26"/>
        <v>30000</v>
      </c>
      <c r="M91" s="329"/>
      <c r="N91" s="163"/>
    </row>
    <row r="92" spans="1:14" s="361" customFormat="1" ht="24.95" customHeight="1" x14ac:dyDescent="0.25">
      <c r="D92" s="968" t="s">
        <v>181</v>
      </c>
      <c r="E92" s="969"/>
      <c r="F92" s="957"/>
      <c r="G92" s="318"/>
      <c r="H92" s="362">
        <f>H94</f>
        <v>895</v>
      </c>
      <c r="I92" s="316">
        <f>I94</f>
        <v>1074</v>
      </c>
      <c r="J92" s="371"/>
      <c r="K92" s="318">
        <f>K94</f>
        <v>865</v>
      </c>
      <c r="L92" s="362">
        <f>K92-H92</f>
        <v>-30</v>
      </c>
      <c r="M92" s="320">
        <f>K92/H92-1</f>
        <v>-3.3519553072625663E-2</v>
      </c>
      <c r="N92" s="367"/>
    </row>
    <row r="93" spans="1:14" s="361" customFormat="1" ht="19.5" hidden="1" customHeight="1" x14ac:dyDescent="0.25">
      <c r="D93" s="958" t="s">
        <v>496</v>
      </c>
      <c r="E93" s="923"/>
      <c r="F93" s="959" t="s">
        <v>164</v>
      </c>
      <c r="G93" s="372"/>
      <c r="H93" s="368"/>
      <c r="I93" s="325"/>
      <c r="J93" s="369"/>
      <c r="K93" s="327" t="e">
        <f>K55</f>
        <v>#REF!</v>
      </c>
      <c r="L93" s="368" t="e">
        <f t="shared" si="26"/>
        <v>#REF!</v>
      </c>
      <c r="M93" s="329"/>
      <c r="N93" s="367"/>
    </row>
    <row r="94" spans="1:14" s="333" customFormat="1" ht="16.5" customHeight="1" thickBot="1" x14ac:dyDescent="0.25">
      <c r="D94" s="958" t="s">
        <v>182</v>
      </c>
      <c r="E94" s="923"/>
      <c r="F94" s="959" t="s">
        <v>183</v>
      </c>
      <c r="G94" s="372"/>
      <c r="H94" s="368">
        <f>H56</f>
        <v>895</v>
      </c>
      <c r="I94" s="325">
        <f>I56</f>
        <v>1074</v>
      </c>
      <c r="J94" s="369"/>
      <c r="K94" s="327">
        <f>K56</f>
        <v>865</v>
      </c>
      <c r="L94" s="368">
        <f t="shared" si="26"/>
        <v>-30</v>
      </c>
      <c r="M94" s="329">
        <f>K94/H94-1</f>
        <v>-3.3519553072625663E-2</v>
      </c>
      <c r="N94" s="163"/>
    </row>
    <row r="95" spans="1:14" s="333" customFormat="1" ht="24.95" customHeight="1" thickBot="1" x14ac:dyDescent="0.25">
      <c r="D95" s="970" t="s">
        <v>187</v>
      </c>
      <c r="E95" s="971"/>
      <c r="F95" s="972"/>
      <c r="G95" s="373" t="e">
        <f>SUM(G96:G99)</f>
        <v>#REF!</v>
      </c>
      <c r="H95" s="374">
        <f>SUM(H96:H102)</f>
        <v>1826000</v>
      </c>
      <c r="I95" s="375">
        <f>SUM(I96:I102)</f>
        <v>1830081</v>
      </c>
      <c r="J95" s="376">
        <f t="shared" ref="J95" si="28">SUM(J96:J101)</f>
        <v>1000640</v>
      </c>
      <c r="K95" s="373">
        <f>SUM(K96:K102)</f>
        <v>2027000</v>
      </c>
      <c r="L95" s="374">
        <f>K95-H95</f>
        <v>201000</v>
      </c>
      <c r="M95" s="377">
        <f t="shared" ref="M95:M103" si="29">K95/H95-1</f>
        <v>0.11007667031763413</v>
      </c>
      <c r="N95" s="163"/>
    </row>
    <row r="96" spans="1:14" s="333" customFormat="1" ht="27" x14ac:dyDescent="0.2">
      <c r="D96" s="862" t="s">
        <v>188</v>
      </c>
      <c r="E96" s="612"/>
      <c r="F96" s="378" t="s">
        <v>171</v>
      </c>
      <c r="G96" s="344" t="e">
        <f t="shared" ref="G96:I102" si="30">SUM(G35)</f>
        <v>#REF!</v>
      </c>
      <c r="H96" s="379">
        <f t="shared" si="30"/>
        <v>660000</v>
      </c>
      <c r="I96" s="342">
        <f t="shared" si="30"/>
        <v>660000</v>
      </c>
      <c r="J96" s="380">
        <v>475650</v>
      </c>
      <c r="K96" s="344">
        <f t="shared" ref="K96:K102" si="31">SUM(K35)</f>
        <v>660000</v>
      </c>
      <c r="L96" s="379">
        <f t="shared" ref="L96:L102" si="32">K96-H96</f>
        <v>0</v>
      </c>
      <c r="M96" s="346">
        <f t="shared" si="29"/>
        <v>0</v>
      </c>
      <c r="N96" s="163"/>
    </row>
    <row r="97" spans="4:14" s="333" customFormat="1" ht="27" x14ac:dyDescent="0.2">
      <c r="D97" s="862" t="s">
        <v>172</v>
      </c>
      <c r="E97" s="612"/>
      <c r="F97" s="378" t="s">
        <v>173</v>
      </c>
      <c r="G97" s="327" t="e">
        <f t="shared" si="30"/>
        <v>#REF!</v>
      </c>
      <c r="H97" s="379">
        <f t="shared" si="30"/>
        <v>827000</v>
      </c>
      <c r="I97" s="342">
        <f t="shared" si="30"/>
        <v>827000</v>
      </c>
      <c r="J97" s="380">
        <v>462248</v>
      </c>
      <c r="K97" s="344">
        <f t="shared" si="31"/>
        <v>950000</v>
      </c>
      <c r="L97" s="379">
        <f t="shared" si="32"/>
        <v>123000</v>
      </c>
      <c r="M97" s="346">
        <f t="shared" si="29"/>
        <v>0.14873035066505436</v>
      </c>
      <c r="N97" s="163"/>
    </row>
    <row r="98" spans="4:14" s="333" customFormat="1" ht="17.100000000000001" customHeight="1" x14ac:dyDescent="0.2">
      <c r="D98" s="862" t="s">
        <v>174</v>
      </c>
      <c r="E98" s="612"/>
      <c r="F98" s="370" t="s">
        <v>65</v>
      </c>
      <c r="G98" s="327" t="e">
        <f t="shared" si="30"/>
        <v>#REF!</v>
      </c>
      <c r="H98" s="379">
        <f t="shared" si="30"/>
        <v>22000</v>
      </c>
      <c r="I98" s="342">
        <f t="shared" si="30"/>
        <v>22000</v>
      </c>
      <c r="J98" s="369">
        <v>25000</v>
      </c>
      <c r="K98" s="344">
        <f t="shared" si="31"/>
        <v>24000</v>
      </c>
      <c r="L98" s="368">
        <f t="shared" si="32"/>
        <v>2000</v>
      </c>
      <c r="M98" s="329">
        <f t="shared" si="29"/>
        <v>9.0909090909090828E-2</v>
      </c>
      <c r="N98" s="163"/>
    </row>
    <row r="99" spans="4:14" s="333" customFormat="1" ht="17.100000000000001" customHeight="1" x14ac:dyDescent="0.2">
      <c r="D99" s="863" t="s">
        <v>175</v>
      </c>
      <c r="E99" s="613"/>
      <c r="F99" s="370" t="s">
        <v>67</v>
      </c>
      <c r="G99" s="327" t="e">
        <f t="shared" si="30"/>
        <v>#REF!</v>
      </c>
      <c r="H99" s="379">
        <f t="shared" si="30"/>
        <v>200000</v>
      </c>
      <c r="I99" s="342">
        <f t="shared" si="30"/>
        <v>200000</v>
      </c>
      <c r="J99" s="369">
        <v>37742</v>
      </c>
      <c r="K99" s="344">
        <f t="shared" si="31"/>
        <v>255000</v>
      </c>
      <c r="L99" s="368">
        <f t="shared" si="32"/>
        <v>55000</v>
      </c>
      <c r="M99" s="329">
        <f t="shared" si="29"/>
        <v>0.27499999999999991</v>
      </c>
      <c r="N99" s="163"/>
    </row>
    <row r="100" spans="4:14" s="333" customFormat="1" ht="17.100000000000001" customHeight="1" x14ac:dyDescent="0.2">
      <c r="D100" s="330" t="s">
        <v>176</v>
      </c>
      <c r="E100" s="599"/>
      <c r="F100" s="370" t="s">
        <v>69</v>
      </c>
      <c r="G100" s="327"/>
      <c r="H100" s="379">
        <f t="shared" si="30"/>
        <v>37000</v>
      </c>
      <c r="I100" s="342">
        <f t="shared" si="30"/>
        <v>37000</v>
      </c>
      <c r="J100" s="369"/>
      <c r="K100" s="344">
        <f t="shared" si="31"/>
        <v>40000</v>
      </c>
      <c r="L100" s="368">
        <f t="shared" si="32"/>
        <v>3000</v>
      </c>
      <c r="M100" s="329">
        <f t="shared" si="29"/>
        <v>8.1081081081081141E-2</v>
      </c>
      <c r="N100" s="163"/>
    </row>
    <row r="101" spans="4:14" s="333" customFormat="1" ht="17.100000000000001" customHeight="1" x14ac:dyDescent="0.2">
      <c r="D101" s="330" t="s">
        <v>177</v>
      </c>
      <c r="E101" s="599"/>
      <c r="F101" s="381" t="s">
        <v>71</v>
      </c>
      <c r="G101" s="327"/>
      <c r="H101" s="379">
        <f t="shared" si="30"/>
        <v>35000</v>
      </c>
      <c r="I101" s="342">
        <f t="shared" si="30"/>
        <v>39081</v>
      </c>
      <c r="J101" s="369"/>
      <c r="K101" s="344">
        <f t="shared" si="31"/>
        <v>43000</v>
      </c>
      <c r="L101" s="368">
        <f t="shared" si="32"/>
        <v>8000</v>
      </c>
      <c r="M101" s="329">
        <f t="shared" si="29"/>
        <v>0.22857142857142865</v>
      </c>
      <c r="N101" s="163"/>
    </row>
    <row r="102" spans="4:14" s="333" customFormat="1" ht="17.100000000000001" customHeight="1" thickBot="1" x14ac:dyDescent="0.25">
      <c r="D102" s="330" t="s">
        <v>382</v>
      </c>
      <c r="E102" s="599"/>
      <c r="F102" s="381" t="s">
        <v>92</v>
      </c>
      <c r="G102" s="327"/>
      <c r="H102" s="379">
        <f t="shared" si="30"/>
        <v>45000</v>
      </c>
      <c r="I102" s="342">
        <f t="shared" si="30"/>
        <v>45000</v>
      </c>
      <c r="J102" s="369"/>
      <c r="K102" s="344">
        <f t="shared" si="31"/>
        <v>55000</v>
      </c>
      <c r="L102" s="368">
        <f t="shared" si="32"/>
        <v>10000</v>
      </c>
      <c r="M102" s="329">
        <f t="shared" si="29"/>
        <v>0.22222222222222232</v>
      </c>
      <c r="N102" s="163"/>
    </row>
    <row r="103" spans="4:14" s="386" customFormat="1" ht="29.25" customHeight="1" thickTop="1" thickBot="1" x14ac:dyDescent="0.3">
      <c r="D103" s="353" t="s">
        <v>186</v>
      </c>
      <c r="E103" s="607"/>
      <c r="F103" s="382"/>
      <c r="G103" s="383" t="e">
        <f>SUM(G79,G95)</f>
        <v>#REF!</v>
      </c>
      <c r="H103" s="384">
        <f>SUM(H79,H95,H92)</f>
        <v>4535038</v>
      </c>
      <c r="I103" s="354">
        <f>SUM(I79,I95,I92)</f>
        <v>4549484</v>
      </c>
      <c r="J103" s="354" t="e">
        <f>SUM(J79,J95)</f>
        <v>#REF!</v>
      </c>
      <c r="K103" s="383">
        <f>SUM(K79,K95,K92)</f>
        <v>4429617</v>
      </c>
      <c r="L103" s="384">
        <f>K103-H103</f>
        <v>-105421</v>
      </c>
      <c r="M103" s="385">
        <f t="shared" si="29"/>
        <v>-2.3245891214142E-2</v>
      </c>
      <c r="N103" s="144"/>
    </row>
    <row r="104" spans="4:14" s="289" customFormat="1" ht="20.25" hidden="1" customHeight="1" x14ac:dyDescent="0.2">
      <c r="D104" s="973" t="s">
        <v>499</v>
      </c>
      <c r="E104" s="974"/>
      <c r="F104" s="975"/>
      <c r="G104" s="976">
        <f>9106+550+451634+339314+2013804</f>
        <v>2814408</v>
      </c>
      <c r="H104" s="977"/>
      <c r="I104" s="978"/>
      <c r="J104" s="979"/>
      <c r="K104" s="935"/>
      <c r="L104" s="980"/>
      <c r="M104" s="981"/>
      <c r="N104" s="140"/>
    </row>
    <row r="105" spans="4:14" s="289" customFormat="1" ht="31.5" hidden="1" customHeight="1" x14ac:dyDescent="0.25">
      <c r="D105" s="982" t="s">
        <v>186</v>
      </c>
      <c r="E105" s="983"/>
      <c r="F105" s="984"/>
      <c r="G105" s="985" t="e">
        <f>SUM(G103:G104)</f>
        <v>#REF!</v>
      </c>
      <c r="H105" s="986">
        <f>SUM(H103)</f>
        <v>4535038</v>
      </c>
      <c r="I105" s="987">
        <f>SUM(I103)</f>
        <v>4549484</v>
      </c>
      <c r="J105" s="988" t="e">
        <f>SUM(J103)</f>
        <v>#REF!</v>
      </c>
      <c r="K105" s="989">
        <f t="shared" ref="K105:L105" si="33">SUM(K103)</f>
        <v>4429617</v>
      </c>
      <c r="L105" s="986">
        <f t="shared" si="33"/>
        <v>-105421</v>
      </c>
      <c r="M105" s="990">
        <f>K105/H105-1</f>
        <v>-2.3245891214142E-2</v>
      </c>
      <c r="N105" s="140"/>
    </row>
    <row r="106" spans="4:14" s="289" customFormat="1" x14ac:dyDescent="0.2">
      <c r="E106" s="290"/>
      <c r="F106" s="290"/>
      <c r="G106" s="290"/>
      <c r="K106" s="140"/>
      <c r="L106" s="140"/>
      <c r="M106" s="140"/>
      <c r="N106" s="140"/>
    </row>
    <row r="107" spans="4:14" s="289" customFormat="1" x14ac:dyDescent="0.2">
      <c r="E107" s="290"/>
      <c r="F107" s="290"/>
      <c r="G107" s="290"/>
      <c r="K107" s="140"/>
      <c r="L107" s="140"/>
      <c r="M107" s="140"/>
      <c r="N107" s="140"/>
    </row>
    <row r="108" spans="4:14" x14ac:dyDescent="0.2">
      <c r="K108" s="947"/>
    </row>
    <row r="109" spans="4:14" ht="15" customHeight="1" x14ac:dyDescent="0.2">
      <c r="D109" s="1075" t="s">
        <v>261</v>
      </c>
      <c r="E109" s="1075"/>
      <c r="F109" s="1075"/>
      <c r="G109" s="584" t="e">
        <f>SUM(#REF!)</f>
        <v>#REF!</v>
      </c>
      <c r="H109" s="584">
        <f>SUM(H79,H95)</f>
        <v>4534143</v>
      </c>
      <c r="I109" s="584">
        <f>SUM(I79,I95)</f>
        <v>4548410</v>
      </c>
      <c r="J109" s="584" t="e">
        <f>SUM(J79,J95)</f>
        <v>#REF!</v>
      </c>
      <c r="K109" s="584">
        <f>SUM(K79,K95)</f>
        <v>4428752</v>
      </c>
    </row>
    <row r="110" spans="4:14" ht="15" customHeight="1" x14ac:dyDescent="0.2">
      <c r="D110" s="1075" t="s">
        <v>259</v>
      </c>
      <c r="E110" s="1075"/>
      <c r="F110" s="1075"/>
      <c r="G110" s="584">
        <v>0</v>
      </c>
      <c r="H110" s="584">
        <f>SUM(H94)</f>
        <v>895</v>
      </c>
      <c r="I110" s="584">
        <f>SUM(I94)</f>
        <v>1074</v>
      </c>
      <c r="J110" s="584">
        <f>SUM(J94)</f>
        <v>0</v>
      </c>
      <c r="K110" s="584">
        <f>SUM(K94)</f>
        <v>865</v>
      </c>
    </row>
    <row r="111" spans="4:14" ht="15" x14ac:dyDescent="0.25">
      <c r="D111" s="1076" t="s">
        <v>214</v>
      </c>
      <c r="E111" s="1076"/>
      <c r="F111" s="1076"/>
      <c r="G111" s="771" t="e">
        <f>SUM(G109:G110)</f>
        <v>#REF!</v>
      </c>
      <c r="H111" s="771">
        <f t="shared" ref="H111:K111" si="34">SUM(H109:H110)</f>
        <v>4535038</v>
      </c>
      <c r="I111" s="771">
        <f t="shared" si="34"/>
        <v>4549484</v>
      </c>
      <c r="J111" s="771" t="e">
        <f t="shared" si="34"/>
        <v>#REF!</v>
      </c>
      <c r="K111" s="771">
        <f t="shared" si="34"/>
        <v>4429617</v>
      </c>
    </row>
  </sheetData>
  <sheetProtection selectLockedCells="1"/>
  <mergeCells count="27">
    <mergeCell ref="L4:M4"/>
    <mergeCell ref="H5:J5"/>
    <mergeCell ref="L5:M5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D109:F109"/>
    <mergeCell ref="D110:F110"/>
    <mergeCell ref="D111:F111"/>
    <mergeCell ref="L75:M75"/>
    <mergeCell ref="D76:D77"/>
    <mergeCell ref="F76:F77"/>
    <mergeCell ref="G76:G77"/>
    <mergeCell ref="H76:H77"/>
    <mergeCell ref="I76:I77"/>
    <mergeCell ref="J76:J77"/>
    <mergeCell ref="K76:K77"/>
    <mergeCell ref="L76:L77"/>
    <mergeCell ref="M76:M77"/>
    <mergeCell ref="H75:J75"/>
  </mergeCells>
  <printOptions horizontalCentered="1"/>
  <pageMargins left="0.51181102362204722" right="0.31496062992125984" top="0.78740157480314965" bottom="0.78740157480314965" header="0.31496062992125984" footer="0.31496062992125984"/>
  <pageSetup paperSize="9" scale="39" firstPageNumber="15" orientation="portrait" useFirstPageNumber="1" r:id="rId1"/>
  <headerFooter>
    <oddFooter>&amp;L&amp;"Arial,Kurzíva"Zastupitelstvo Olomouckého kraje 11.12.2023
2.1. - Rozpočet Olomouckého kraje na rok 2024 - návrh rozpočtu
Příloha č. 1: Návrh rozpočtu OK na rok 2024 (bilance) - zkrácená verze&amp;R&amp;"-,Kurzíva"Strana &amp;P (Celkem 216)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CFFFF"/>
  </sheetPr>
  <dimension ref="A1:AL16"/>
  <sheetViews>
    <sheetView showGridLines="0" view="pageBreakPreview" zoomScaleNormal="100" zoomScaleSheetLayoutView="100" workbookViewId="0">
      <selection activeCell="F18" sqref="F18"/>
    </sheetView>
  </sheetViews>
  <sheetFormatPr defaultColWidth="9.140625" defaultRowHeight="12.75" x14ac:dyDescent="0.2"/>
  <cols>
    <col min="1" max="1" width="8.5703125" style="209" customWidth="1"/>
    <col min="2" max="2" width="9.140625" style="209" customWidth="1"/>
    <col min="3" max="3" width="51.85546875" style="209" customWidth="1"/>
    <col min="4" max="5" width="14.42578125" style="209" customWidth="1"/>
    <col min="6" max="6" width="14.28515625" style="209" customWidth="1"/>
    <col min="7" max="7" width="8.28515625" style="209" customWidth="1"/>
    <col min="8" max="8" width="9.140625" style="209"/>
    <col min="9" max="9" width="21.85546875" style="209" customWidth="1"/>
    <col min="10" max="16384" width="9.140625" style="209"/>
  </cols>
  <sheetData>
    <row r="1" spans="1:38" ht="20.25" x14ac:dyDescent="0.3">
      <c r="A1" s="138" t="s">
        <v>506</v>
      </c>
    </row>
    <row r="3" spans="1:38" ht="26.25" customHeight="1" x14ac:dyDescent="0.2">
      <c r="A3" s="1107" t="s">
        <v>17</v>
      </c>
      <c r="B3" s="1108"/>
      <c r="C3" s="1108"/>
      <c r="D3" s="614"/>
      <c r="E3" s="614"/>
      <c r="F3" s="614"/>
      <c r="G3" s="614" t="s">
        <v>196</v>
      </c>
    </row>
    <row r="4" spans="1:38" ht="14.25" x14ac:dyDescent="0.2">
      <c r="A4" s="615" t="s">
        <v>195</v>
      </c>
      <c r="B4" s="615" t="s">
        <v>194</v>
      </c>
      <c r="D4" s="616"/>
      <c r="E4" s="616"/>
      <c r="F4" s="616"/>
      <c r="G4" s="616"/>
    </row>
    <row r="5" spans="1:38" ht="14.25" x14ac:dyDescent="0.2">
      <c r="A5" s="615"/>
      <c r="B5" s="615" t="s">
        <v>193</v>
      </c>
      <c r="D5" s="616"/>
      <c r="E5" s="616"/>
      <c r="F5" s="616"/>
      <c r="G5" s="616"/>
    </row>
    <row r="6" spans="1:38" ht="13.5" thickBot="1" x14ac:dyDescent="0.25">
      <c r="A6" s="617"/>
      <c r="B6" s="617"/>
      <c r="C6" s="617"/>
      <c r="D6" s="617"/>
      <c r="E6" s="617"/>
      <c r="F6" s="617"/>
      <c r="G6" s="617" t="s">
        <v>0</v>
      </c>
    </row>
    <row r="7" spans="1:38" ht="39.75" thickTop="1" thickBot="1" x14ac:dyDescent="0.25">
      <c r="A7" s="410" t="s">
        <v>97</v>
      </c>
      <c r="B7" s="411" t="s">
        <v>192</v>
      </c>
      <c r="C7" s="412" t="s">
        <v>99</v>
      </c>
      <c r="D7" s="818" t="s">
        <v>415</v>
      </c>
      <c r="E7" s="818" t="s">
        <v>422</v>
      </c>
      <c r="F7" s="818" t="s">
        <v>423</v>
      </c>
      <c r="G7" s="148" t="s">
        <v>2</v>
      </c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 s="419" customFormat="1" thickTop="1" thickBot="1" x14ac:dyDescent="0.25">
      <c r="A8" s="414">
        <v>1</v>
      </c>
      <c r="B8" s="415">
        <v>2</v>
      </c>
      <c r="C8" s="415">
        <v>3</v>
      </c>
      <c r="D8" s="416">
        <v>4</v>
      </c>
      <c r="E8" s="416">
        <v>5</v>
      </c>
      <c r="F8" s="416">
        <v>6</v>
      </c>
      <c r="G8" s="417" t="s">
        <v>100</v>
      </c>
      <c r="H8" s="418"/>
      <c r="I8" s="418"/>
      <c r="J8" s="418"/>
      <c r="K8" s="418"/>
      <c r="L8" s="418"/>
      <c r="M8" s="418"/>
      <c r="N8" s="418"/>
      <c r="O8" s="418"/>
      <c r="P8" s="418"/>
      <c r="Q8" s="418"/>
      <c r="R8" s="418"/>
      <c r="S8" s="418"/>
      <c r="T8" s="418"/>
      <c r="U8" s="418"/>
      <c r="V8" s="418"/>
      <c r="W8" s="418"/>
      <c r="X8" s="418"/>
      <c r="Y8" s="418"/>
      <c r="Z8" s="418"/>
      <c r="AA8" s="418"/>
      <c r="AB8" s="418"/>
      <c r="AC8" s="418"/>
      <c r="AD8" s="418"/>
      <c r="AE8" s="418"/>
      <c r="AF8" s="418"/>
      <c r="AG8" s="418"/>
      <c r="AH8" s="418"/>
      <c r="AI8" s="418"/>
      <c r="AJ8" s="418"/>
      <c r="AK8" s="418"/>
      <c r="AL8" s="418"/>
    </row>
    <row r="9" spans="1:38" ht="15" thickTop="1" x14ac:dyDescent="0.2">
      <c r="A9" s="396">
        <v>6113</v>
      </c>
      <c r="B9" s="395">
        <v>51</v>
      </c>
      <c r="C9" s="394" t="s">
        <v>507</v>
      </c>
      <c r="D9" s="618">
        <v>280</v>
      </c>
      <c r="E9" s="618">
        <v>330</v>
      </c>
      <c r="F9" s="618">
        <v>311</v>
      </c>
      <c r="G9" s="619">
        <f t="shared" ref="G9:G15" si="0">F9/D9*100</f>
        <v>111.07142857142858</v>
      </c>
    </row>
    <row r="10" spans="1:38" ht="28.5" x14ac:dyDescent="0.2">
      <c r="A10" s="620">
        <v>6113</v>
      </c>
      <c r="B10" s="621">
        <v>54</v>
      </c>
      <c r="C10" s="622" t="s">
        <v>508</v>
      </c>
      <c r="D10" s="623">
        <v>155</v>
      </c>
      <c r="E10" s="623">
        <v>155</v>
      </c>
      <c r="F10" s="623">
        <v>73</v>
      </c>
      <c r="G10" s="619">
        <f t="shared" si="0"/>
        <v>47.096774193548384</v>
      </c>
    </row>
    <row r="11" spans="1:38" ht="14.25" x14ac:dyDescent="0.2">
      <c r="A11" s="620">
        <v>6113</v>
      </c>
      <c r="B11" s="621">
        <v>59</v>
      </c>
      <c r="C11" s="622" t="s">
        <v>191</v>
      </c>
      <c r="D11" s="623">
        <v>157</v>
      </c>
      <c r="E11" s="623">
        <v>157</v>
      </c>
      <c r="F11" s="623">
        <v>100</v>
      </c>
      <c r="G11" s="619">
        <f t="shared" si="0"/>
        <v>63.694267515923563</v>
      </c>
    </row>
    <row r="12" spans="1:38" ht="14.25" x14ac:dyDescent="0.2">
      <c r="A12" s="620">
        <v>6172</v>
      </c>
      <c r="B12" s="621">
        <v>50</v>
      </c>
      <c r="C12" s="622" t="s">
        <v>509</v>
      </c>
      <c r="D12" s="623">
        <v>20</v>
      </c>
      <c r="E12" s="623">
        <v>20</v>
      </c>
      <c r="F12" s="623">
        <v>20</v>
      </c>
      <c r="G12" s="619">
        <f t="shared" si="0"/>
        <v>100</v>
      </c>
    </row>
    <row r="13" spans="1:38" ht="14.25" x14ac:dyDescent="0.2">
      <c r="A13" s="620">
        <v>6172</v>
      </c>
      <c r="B13" s="621">
        <v>51</v>
      </c>
      <c r="C13" s="622" t="s">
        <v>507</v>
      </c>
      <c r="D13" s="623">
        <v>8173</v>
      </c>
      <c r="E13" s="623">
        <v>14079</v>
      </c>
      <c r="F13" s="623">
        <v>10083</v>
      </c>
      <c r="G13" s="619">
        <f t="shared" si="0"/>
        <v>123.36963171418085</v>
      </c>
    </row>
    <row r="14" spans="1:38" ht="29.25" thickBot="1" x14ac:dyDescent="0.25">
      <c r="A14" s="624">
        <v>6172</v>
      </c>
      <c r="B14" s="625">
        <v>54</v>
      </c>
      <c r="C14" s="626" t="s">
        <v>508</v>
      </c>
      <c r="D14" s="627">
        <v>3005</v>
      </c>
      <c r="E14" s="627">
        <v>3505</v>
      </c>
      <c r="F14" s="627">
        <v>2830</v>
      </c>
      <c r="G14" s="628">
        <f t="shared" si="0"/>
        <v>94.176372712146431</v>
      </c>
    </row>
    <row r="15" spans="1:38" ht="23.25" customHeight="1" thickTop="1" thickBot="1" x14ac:dyDescent="0.25">
      <c r="A15" s="393" t="s">
        <v>106</v>
      </c>
      <c r="B15" s="392"/>
      <c r="C15" s="391"/>
      <c r="D15" s="390">
        <f>SUM(D9:D14)</f>
        <v>11790</v>
      </c>
      <c r="E15" s="390">
        <f>SUM(E9:E14)</f>
        <v>18246</v>
      </c>
      <c r="F15" s="390">
        <f>SUM(F9:F14)</f>
        <v>13417</v>
      </c>
      <c r="G15" s="389">
        <f t="shared" si="0"/>
        <v>113.79983036471586</v>
      </c>
      <c r="J15" s="629"/>
      <c r="K15" s="629"/>
    </row>
    <row r="16" spans="1:38" ht="13.5" thickTop="1" x14ac:dyDescent="0.2">
      <c r="C16" s="630"/>
      <c r="D16" s="630"/>
      <c r="E16" s="630"/>
      <c r="F16" s="630"/>
    </row>
  </sheetData>
  <mergeCells count="1">
    <mergeCell ref="A3:C3"/>
  </mergeCells>
  <pageMargins left="0.70866141732283472" right="0.70866141732283472" top="0.78740157480314965" bottom="0.78740157480314965" header="0.31496062992125984" footer="0.31496062992125984"/>
  <pageSetup paperSize="9" scale="72" firstPageNumber="16" fitToHeight="9999" orientation="portrait" useFirstPageNumber="1" r:id="rId1"/>
  <headerFooter>
    <oddFooter>&amp;L&amp;"Arial CE,Kurzíva"Zastupitelstvo Olomouckého kraje 11.12.2023
2.1. - Rozpočet Olomouckého kraje na rok 2024 - návrh rozpočtu
Příloha č. 1: Návrh rozpočtu OK na rok 2024 (bilance) - zkrácená verze&amp;R&amp;"Arial CE,Kurzíva"Strana &amp;P (Celkem 216)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CFFFF"/>
    <pageSetUpPr fitToPage="1"/>
  </sheetPr>
  <dimension ref="A1:AH36"/>
  <sheetViews>
    <sheetView showGridLines="0" view="pageBreakPreview" zoomScaleNormal="100" zoomScaleSheetLayoutView="100" workbookViewId="0">
      <selection activeCell="F18" sqref="F18"/>
    </sheetView>
  </sheetViews>
  <sheetFormatPr defaultColWidth="9.140625" defaultRowHeight="12.75" x14ac:dyDescent="0.2"/>
  <cols>
    <col min="1" max="1" width="8.5703125" style="209" customWidth="1"/>
    <col min="2" max="2" width="9.28515625" style="209" customWidth="1"/>
    <col min="3" max="3" width="51.85546875" style="209" customWidth="1"/>
    <col min="4" max="6" width="14.28515625" style="209" customWidth="1"/>
    <col min="7" max="7" width="8.28515625" style="209" customWidth="1"/>
    <col min="8" max="16384" width="9.140625" style="209"/>
  </cols>
  <sheetData>
    <row r="1" spans="1:34" ht="20.25" x14ac:dyDescent="0.3">
      <c r="A1" s="138" t="s">
        <v>510</v>
      </c>
    </row>
    <row r="3" spans="1:34" ht="24" customHeight="1" x14ac:dyDescent="0.2">
      <c r="A3" s="1109" t="s">
        <v>12</v>
      </c>
      <c r="B3" s="1109"/>
      <c r="C3" s="1109"/>
      <c r="D3" s="1109"/>
      <c r="E3" s="1109"/>
      <c r="F3" s="614"/>
      <c r="G3" s="614" t="s">
        <v>206</v>
      </c>
    </row>
    <row r="4" spans="1:34" x14ac:dyDescent="0.2">
      <c r="A4" s="1109"/>
      <c r="B4" s="1109"/>
      <c r="C4" s="1109"/>
      <c r="D4" s="1109"/>
      <c r="E4" s="1109"/>
    </row>
    <row r="6" spans="1:34" ht="14.25" x14ac:dyDescent="0.2">
      <c r="A6" s="615" t="s">
        <v>195</v>
      </c>
      <c r="B6" s="991" t="s">
        <v>511</v>
      </c>
      <c r="D6" s="616"/>
      <c r="E6" s="616"/>
      <c r="F6" s="616"/>
      <c r="G6" s="616"/>
    </row>
    <row r="7" spans="1:34" ht="14.25" x14ac:dyDescent="0.2">
      <c r="A7" s="615"/>
      <c r="B7" s="615" t="s">
        <v>205</v>
      </c>
      <c r="D7" s="616"/>
      <c r="E7" s="616"/>
      <c r="F7" s="616"/>
      <c r="G7" s="616"/>
    </row>
    <row r="8" spans="1:34" ht="13.5" thickBot="1" x14ac:dyDescent="0.25">
      <c r="A8" s="617"/>
      <c r="B8" s="617"/>
      <c r="C8" s="617"/>
      <c r="D8" s="617"/>
      <c r="E8" s="617"/>
      <c r="F8" s="617"/>
      <c r="G8" s="617" t="s">
        <v>0</v>
      </c>
    </row>
    <row r="9" spans="1:34" ht="39.75" thickTop="1" thickBot="1" x14ac:dyDescent="0.25">
      <c r="A9" s="410" t="s">
        <v>97</v>
      </c>
      <c r="B9" s="411" t="s">
        <v>192</v>
      </c>
      <c r="C9" s="412" t="s">
        <v>99</v>
      </c>
      <c r="D9" s="147" t="s">
        <v>415</v>
      </c>
      <c r="E9" s="147" t="s">
        <v>422</v>
      </c>
      <c r="F9" s="147" t="s">
        <v>423</v>
      </c>
      <c r="G9" s="148" t="s">
        <v>2</v>
      </c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</row>
    <row r="10" spans="1:34" s="419" customFormat="1" thickTop="1" thickBot="1" x14ac:dyDescent="0.25">
      <c r="A10" s="414">
        <v>1</v>
      </c>
      <c r="B10" s="415">
        <v>2</v>
      </c>
      <c r="C10" s="415">
        <v>3</v>
      </c>
      <c r="D10" s="416">
        <v>4</v>
      </c>
      <c r="E10" s="416">
        <v>5</v>
      </c>
      <c r="F10" s="416">
        <v>6</v>
      </c>
      <c r="G10" s="417" t="s">
        <v>100</v>
      </c>
      <c r="H10" s="418"/>
      <c r="I10" s="418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8"/>
      <c r="AC10" s="418"/>
      <c r="AD10" s="418"/>
      <c r="AE10" s="418"/>
      <c r="AF10" s="418"/>
      <c r="AG10" s="418"/>
      <c r="AH10" s="418"/>
    </row>
    <row r="11" spans="1:34" ht="15" thickTop="1" x14ac:dyDescent="0.2">
      <c r="A11" s="992">
        <v>2321</v>
      </c>
      <c r="B11" s="993">
        <v>63</v>
      </c>
      <c r="C11" s="994" t="s">
        <v>204</v>
      </c>
      <c r="D11" s="618">
        <v>20000</v>
      </c>
      <c r="E11" s="618">
        <v>47825</v>
      </c>
      <c r="F11" s="618">
        <v>20000</v>
      </c>
      <c r="G11" s="995">
        <f>F11/D11*100</f>
        <v>100</v>
      </c>
    </row>
    <row r="12" spans="1:34" ht="14.25" x14ac:dyDescent="0.2">
      <c r="A12" s="635">
        <v>2310</v>
      </c>
      <c r="B12" s="621">
        <v>63</v>
      </c>
      <c r="C12" s="636" t="s">
        <v>204</v>
      </c>
      <c r="D12" s="623">
        <v>10000</v>
      </c>
      <c r="E12" s="623">
        <v>12517</v>
      </c>
      <c r="F12" s="623">
        <v>10000</v>
      </c>
      <c r="G12" s="637">
        <f t="shared" ref="G12:G13" si="0">F12/D12*100</f>
        <v>100</v>
      </c>
    </row>
    <row r="13" spans="1:34" ht="14.25" x14ac:dyDescent="0.2">
      <c r="A13" s="635">
        <v>2334</v>
      </c>
      <c r="B13" s="621">
        <v>63</v>
      </c>
      <c r="C13" s="636" t="s">
        <v>204</v>
      </c>
      <c r="D13" s="623">
        <v>4000</v>
      </c>
      <c r="E13" s="623">
        <v>1760</v>
      </c>
      <c r="F13" s="623">
        <v>4300</v>
      </c>
      <c r="G13" s="637">
        <f t="shared" si="0"/>
        <v>107.5</v>
      </c>
    </row>
    <row r="14" spans="1:34" ht="15" thickBot="1" x14ac:dyDescent="0.25">
      <c r="A14" s="638">
        <v>2399</v>
      </c>
      <c r="B14" s="625">
        <v>59</v>
      </c>
      <c r="C14" s="639" t="s">
        <v>512</v>
      </c>
      <c r="D14" s="627"/>
      <c r="E14" s="627">
        <v>4326</v>
      </c>
      <c r="F14" s="627"/>
      <c r="G14" s="640"/>
    </row>
    <row r="15" spans="1:34" ht="16.5" thickTop="1" thickBot="1" x14ac:dyDescent="0.25">
      <c r="A15" s="393" t="s">
        <v>106</v>
      </c>
      <c r="B15" s="392"/>
      <c r="C15" s="391"/>
      <c r="D15" s="390">
        <f>SUM(D11:D14)</f>
        <v>34000</v>
      </c>
      <c r="E15" s="390">
        <f t="shared" ref="E15:F15" si="1">SUM(E11:E14)</f>
        <v>66428</v>
      </c>
      <c r="F15" s="390">
        <f t="shared" si="1"/>
        <v>34300</v>
      </c>
      <c r="G15" s="389">
        <f>F15/D15*100</f>
        <v>100.88235294117646</v>
      </c>
    </row>
    <row r="16" spans="1:34" ht="15" hidden="1" customHeight="1" x14ac:dyDescent="0.2">
      <c r="C16" s="630"/>
      <c r="D16" s="630"/>
      <c r="E16" s="630"/>
      <c r="F16" s="630"/>
    </row>
    <row r="17" spans="1:7" ht="15" hidden="1" x14ac:dyDescent="0.25">
      <c r="A17" s="631" t="s">
        <v>190</v>
      </c>
      <c r="C17" s="630"/>
      <c r="D17" s="630"/>
      <c r="E17" s="630"/>
      <c r="F17" s="630"/>
    </row>
    <row r="18" spans="1:7" ht="15" hidden="1" x14ac:dyDescent="0.25">
      <c r="A18" s="631"/>
      <c r="C18" s="630"/>
      <c r="D18" s="630"/>
      <c r="E18" s="630"/>
      <c r="F18" s="630"/>
    </row>
    <row r="19" spans="1:7" s="289" customFormat="1" ht="15.75" hidden="1" thickBot="1" x14ac:dyDescent="0.25">
      <c r="A19" s="388" t="s">
        <v>203</v>
      </c>
      <c r="B19" s="388"/>
      <c r="C19" s="387"/>
      <c r="D19" s="387"/>
      <c r="E19" s="387"/>
      <c r="F19" s="398">
        <f>F20</f>
        <v>30000</v>
      </c>
      <c r="G19" s="397" t="s">
        <v>89</v>
      </c>
    </row>
    <row r="20" spans="1:7" s="246" customFormat="1" ht="15" hidden="1" x14ac:dyDescent="0.2">
      <c r="A20" s="632" t="s">
        <v>202</v>
      </c>
      <c r="B20" s="632"/>
      <c r="C20" s="633"/>
      <c r="D20" s="633"/>
      <c r="E20" s="633"/>
      <c r="F20" s="641">
        <v>30000</v>
      </c>
      <c r="G20" s="642" t="s">
        <v>89</v>
      </c>
    </row>
    <row r="21" spans="1:7" ht="44.25" hidden="1" customHeight="1" x14ac:dyDescent="0.2">
      <c r="A21" s="1119" t="s">
        <v>201</v>
      </c>
      <c r="B21" s="1120"/>
      <c r="C21" s="1120"/>
      <c r="D21" s="1120"/>
      <c r="E21" s="1120"/>
      <c r="F21" s="1120"/>
      <c r="G21" s="1120"/>
    </row>
    <row r="22" spans="1:7" ht="28.5" hidden="1" customHeight="1" x14ac:dyDescent="0.25">
      <c r="A22" s="643" t="s">
        <v>134</v>
      </c>
      <c r="C22" s="1114" t="s">
        <v>301</v>
      </c>
      <c r="D22" s="1114"/>
      <c r="E22" s="1114"/>
      <c r="F22" s="1110">
        <f>SUM(F24:G26)</f>
        <v>34300</v>
      </c>
      <c r="G22" s="1111"/>
    </row>
    <row r="23" spans="1:7" s="646" customFormat="1" ht="14.25" hidden="1" customHeight="1" x14ac:dyDescent="0.2">
      <c r="A23" s="644" t="s">
        <v>135</v>
      </c>
      <c r="B23" s="645"/>
      <c r="C23" s="1115" t="s">
        <v>302</v>
      </c>
      <c r="D23" s="1115"/>
      <c r="E23" s="1115"/>
    </row>
    <row r="24" spans="1:7" s="646" customFormat="1" ht="15" hidden="1" x14ac:dyDescent="0.25">
      <c r="A24" s="644"/>
      <c r="B24" s="645"/>
      <c r="C24" s="1115"/>
      <c r="D24" s="1115"/>
      <c r="E24" s="1115"/>
      <c r="F24" s="1112">
        <v>20000</v>
      </c>
      <c r="G24" s="1113"/>
    </row>
    <row r="25" spans="1:7" s="646" customFormat="1" ht="15" hidden="1" customHeight="1" x14ac:dyDescent="0.25">
      <c r="A25" s="644"/>
      <c r="B25" s="645"/>
      <c r="C25" s="1115" t="s">
        <v>303</v>
      </c>
      <c r="D25" s="1115"/>
      <c r="E25" s="1115"/>
      <c r="F25" s="1112">
        <v>10300</v>
      </c>
      <c r="G25" s="1113"/>
    </row>
    <row r="26" spans="1:7" s="646" customFormat="1" ht="15" hidden="1" x14ac:dyDescent="0.25">
      <c r="A26" s="644"/>
      <c r="B26" s="645"/>
      <c r="C26" s="447" t="s">
        <v>304</v>
      </c>
      <c r="D26" s="647"/>
      <c r="E26" s="647"/>
      <c r="F26" s="1112">
        <v>4000</v>
      </c>
      <c r="G26" s="1113"/>
    </row>
    <row r="27" spans="1:7" s="646" customFormat="1" ht="15" hidden="1" x14ac:dyDescent="0.25">
      <c r="A27" s="644"/>
      <c r="B27" s="645"/>
      <c r="C27" s="447"/>
      <c r="D27" s="647"/>
      <c r="E27" s="647"/>
      <c r="F27" s="1112"/>
      <c r="G27" s="1113"/>
    </row>
    <row r="28" spans="1:7" s="289" customFormat="1" ht="15.75" hidden="1" thickBot="1" x14ac:dyDescent="0.3">
      <c r="A28" s="388" t="s">
        <v>200</v>
      </c>
      <c r="B28" s="388"/>
      <c r="C28" s="387"/>
      <c r="D28" s="387"/>
      <c r="E28" s="387"/>
      <c r="F28" s="1118">
        <f>SUM(F29:G29)</f>
        <v>20000</v>
      </c>
      <c r="G28" s="1118"/>
    </row>
    <row r="29" spans="1:7" s="646" customFormat="1" ht="17.25" hidden="1" customHeight="1" thickTop="1" x14ac:dyDescent="0.25">
      <c r="A29" s="648" t="s">
        <v>197</v>
      </c>
      <c r="B29" s="649"/>
      <c r="C29" s="650"/>
      <c r="D29" s="651"/>
      <c r="E29" s="651"/>
      <c r="F29" s="1116">
        <v>20000</v>
      </c>
      <c r="G29" s="1117"/>
    </row>
    <row r="30" spans="1:7" hidden="1" x14ac:dyDescent="0.2"/>
    <row r="31" spans="1:7" s="289" customFormat="1" ht="15.75" hidden="1" thickBot="1" x14ac:dyDescent="0.3">
      <c r="A31" s="388" t="s">
        <v>199</v>
      </c>
      <c r="B31" s="388"/>
      <c r="C31" s="387"/>
      <c r="D31" s="387"/>
      <c r="E31" s="387"/>
      <c r="F31" s="1118">
        <f>SUM(F32:G32)</f>
        <v>10300</v>
      </c>
      <c r="G31" s="1118"/>
    </row>
    <row r="32" spans="1:7" s="646" customFormat="1" ht="17.25" hidden="1" customHeight="1" thickTop="1" x14ac:dyDescent="0.25">
      <c r="A32" s="648" t="s">
        <v>197</v>
      </c>
      <c r="B32" s="649"/>
      <c r="C32" s="650"/>
      <c r="D32" s="651"/>
      <c r="E32" s="651"/>
      <c r="F32" s="1116">
        <v>10300</v>
      </c>
      <c r="G32" s="1117"/>
    </row>
    <row r="33" spans="1:7" hidden="1" x14ac:dyDescent="0.2"/>
    <row r="34" spans="1:7" s="289" customFormat="1" ht="15.75" hidden="1" thickBot="1" x14ac:dyDescent="0.3">
      <c r="A34" s="388" t="s">
        <v>198</v>
      </c>
      <c r="B34" s="388"/>
      <c r="C34" s="387"/>
      <c r="D34" s="387"/>
      <c r="E34" s="387"/>
      <c r="F34" s="1118">
        <f>SUM(F35:G35)</f>
        <v>4000</v>
      </c>
      <c r="G34" s="1118"/>
    </row>
    <row r="35" spans="1:7" s="646" customFormat="1" ht="17.25" hidden="1" customHeight="1" thickTop="1" x14ac:dyDescent="0.25">
      <c r="A35" s="648" t="s">
        <v>197</v>
      </c>
      <c r="B35" s="649"/>
      <c r="C35" s="650"/>
      <c r="D35" s="651"/>
      <c r="E35" s="651"/>
      <c r="F35" s="1116">
        <v>4000</v>
      </c>
      <c r="G35" s="1117"/>
    </row>
    <row r="36" spans="1:7" ht="13.5" thickTop="1" x14ac:dyDescent="0.2"/>
  </sheetData>
  <mergeCells count="16">
    <mergeCell ref="F32:G32"/>
    <mergeCell ref="F34:G34"/>
    <mergeCell ref="F35:G35"/>
    <mergeCell ref="A21:G21"/>
    <mergeCell ref="C25:E25"/>
    <mergeCell ref="F31:G31"/>
    <mergeCell ref="F29:G29"/>
    <mergeCell ref="F28:G28"/>
    <mergeCell ref="F25:G25"/>
    <mergeCell ref="F26:G26"/>
    <mergeCell ref="F27:G27"/>
    <mergeCell ref="A3:E4"/>
    <mergeCell ref="F22:G22"/>
    <mergeCell ref="F24:G24"/>
    <mergeCell ref="C22:E22"/>
    <mergeCell ref="C23:E24"/>
  </mergeCells>
  <pageMargins left="0.70866141732283472" right="0.70866141732283472" top="0.78740157480314965" bottom="0.78740157480314965" header="0.31496062992125984" footer="0.31496062992125984"/>
  <pageSetup paperSize="9" scale="72" firstPageNumber="17" fitToHeight="9999" orientation="portrait" useFirstPageNumber="1" r:id="rId1"/>
  <headerFooter>
    <oddFooter>&amp;L&amp;"Arial CE,Kurzíva"Zastupitelstvo Olomouckého kraje 11.12.2023
2.1. - Rozpočet Olomouckého kraje na rok 2024 - návrh rozpočtu
Příloha č. 1: Návrh rozpočtu OK na rok 2024 (bilance) - zkrácená verze&amp;R&amp;"Arial CE,Kurzíva"Strana &amp;P (Celkem 216)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12</vt:i4>
      </vt:variant>
    </vt:vector>
  </HeadingPairs>
  <TitlesOfParts>
    <vt:vector size="23" baseType="lpstr">
      <vt:lpstr>stránky</vt:lpstr>
      <vt:lpstr>bilance </vt:lpstr>
      <vt:lpstr>bilance dle tříd</vt:lpstr>
      <vt:lpstr>a) Příjmy</vt:lpstr>
      <vt:lpstr>b) Výdaje</vt:lpstr>
      <vt:lpstr>c) Dotační tituly</vt:lpstr>
      <vt:lpstr>d) Příspěvkové organizace</vt:lpstr>
      <vt:lpstr>e) FSP</vt:lpstr>
      <vt:lpstr>f) Fond voda</vt:lpstr>
      <vt:lpstr>g) Financování</vt:lpstr>
      <vt:lpstr>h) Investice</vt:lpstr>
      <vt:lpstr>'c) Dotační tituly'!Názvy_tisku</vt:lpstr>
      <vt:lpstr>'a) Příjmy'!Oblast_tisku</vt:lpstr>
      <vt:lpstr>'b) Výdaje'!Oblast_tisku</vt:lpstr>
      <vt:lpstr>'bilance '!Oblast_tisku</vt:lpstr>
      <vt:lpstr>'bilance dle tříd'!Oblast_tisku</vt:lpstr>
      <vt:lpstr>'c) Dotační tituly'!Oblast_tisku</vt:lpstr>
      <vt:lpstr>'d) Příspěvkové organizace'!Oblast_tisku</vt:lpstr>
      <vt:lpstr>'e) FSP'!Oblast_tisku</vt:lpstr>
      <vt:lpstr>'f) Fond voda'!Oblast_tisku</vt:lpstr>
      <vt:lpstr>'g) Financování'!Oblast_tisku</vt:lpstr>
      <vt:lpstr>'h) Investice'!Oblast_tisku</vt:lpstr>
      <vt:lpstr>stránky!Oblast_tisku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Foret Oldřich</cp:lastModifiedBy>
  <cp:lastPrinted>2024-11-27T08:54:52Z</cp:lastPrinted>
  <dcterms:created xsi:type="dcterms:W3CDTF">2012-11-29T09:19:31Z</dcterms:created>
  <dcterms:modified xsi:type="dcterms:W3CDTF">2024-11-27T08:54:57Z</dcterms:modified>
</cp:coreProperties>
</file>